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F93D421F-A6BE-48B9-8041-A5DE9440B5CF}" xr6:coauthVersionLast="47" xr6:coauthVersionMax="47" xr10:uidLastSave="{00000000-0000-0000-0000-000000000000}"/>
  <bookViews>
    <workbookView xWindow="-28920" yWindow="45" windowWidth="29040" windowHeight="15840" activeTab="4"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8" l="1"/>
  <c r="B34" i="8"/>
  <c r="D57" i="2" l="1"/>
  <c r="H35" i="22" l="1"/>
  <c r="H12" i="22"/>
  <c r="B55" i="1" l="1"/>
  <c r="D55" i="1"/>
  <c r="B53" i="1"/>
  <c r="B54" i="1"/>
  <c r="D38" i="11" l="1"/>
  <c r="H38" i="11" l="1"/>
  <c r="H37" i="11"/>
  <c r="D37" i="11"/>
  <c r="D56" i="9"/>
  <c r="H56" i="9"/>
  <c r="B13" i="2"/>
  <c r="B14" i="2"/>
  <c r="B36" i="6" l="1"/>
  <c r="H10" i="23"/>
  <c r="H11" i="23"/>
  <c r="B12" i="23"/>
  <c r="D12" i="23"/>
  <c r="F12" i="23"/>
  <c r="H12" i="23"/>
  <c r="H15" i="23"/>
  <c r="H16" i="23"/>
  <c r="H17" i="23"/>
  <c r="H18" i="23"/>
  <c r="H19" i="23"/>
  <c r="H20" i="23"/>
  <c r="H21" i="23"/>
  <c r="H22" i="23"/>
  <c r="H23" i="23"/>
  <c r="B24"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B55" i="22" s="1"/>
  <c r="D36" i="22"/>
  <c r="F36" i="22"/>
  <c r="H39" i="22"/>
  <c r="H40" i="22"/>
  <c r="H41" i="22"/>
  <c r="H42" i="22"/>
  <c r="H43" i="22"/>
  <c r="H44" i="22"/>
  <c r="H45" i="22"/>
  <c r="H46" i="22"/>
  <c r="H47" i="22"/>
  <c r="B48" i="22"/>
  <c r="D48" i="22"/>
  <c r="F48" i="22"/>
  <c r="H51" i="22"/>
  <c r="H53" i="22" s="1"/>
  <c r="H52" i="22"/>
  <c r="B53" i="22"/>
  <c r="D53" i="22"/>
  <c r="F53" i="22"/>
  <c r="D55" i="22" l="1"/>
  <c r="H48" i="22"/>
  <c r="F55" i="22"/>
  <c r="H36" i="22"/>
  <c r="H55" i="22" s="1"/>
  <c r="A3" i="13" l="1"/>
  <c r="A3" i="2"/>
  <c r="A3" i="23" s="1"/>
  <c r="A3" i="12"/>
  <c r="A3" i="22" l="1"/>
  <c r="A3" i="11"/>
  <c r="A3" i="6"/>
  <c r="A3" i="7"/>
  <c r="A3" i="8"/>
  <c r="A3" i="9"/>
  <c r="A3" i="10"/>
  <c r="J11" i="10" l="1"/>
  <c r="J21" i="10"/>
  <c r="J46" i="6"/>
  <c r="D16" i="1" l="1"/>
  <c r="H36" i="6" l="1"/>
  <c r="B16" i="1" l="1"/>
  <c r="B40" i="7" l="1"/>
  <c r="B41" i="7"/>
  <c r="B42" i="7"/>
  <c r="B44" i="2" s="1"/>
  <c r="B43" i="7"/>
  <c r="B45" i="2" s="1"/>
  <c r="B44" i="7"/>
  <c r="B45" i="7"/>
  <c r="B39" i="7"/>
  <c r="B33" i="7"/>
  <c r="B31" i="7"/>
  <c r="B52" i="8"/>
  <c r="B40" i="8"/>
  <c r="B41" i="8"/>
  <c r="B42" i="8"/>
  <c r="B43" i="8"/>
  <c r="B44" i="8"/>
  <c r="B39" i="8"/>
  <c r="B40" i="9"/>
  <c r="B41" i="9"/>
  <c r="B43" i="2" s="1"/>
  <c r="B39" i="9"/>
  <c r="B35" i="9"/>
  <c r="B37" i="2" s="1"/>
  <c r="B41" i="2" l="1"/>
  <c r="H8" i="11"/>
  <c r="H8" i="9"/>
  <c r="H8" i="10"/>
  <c r="D41" i="2" l="1"/>
  <c r="F41" i="9" l="1"/>
  <c r="F35" i="9" l="1"/>
  <c r="F41" i="7"/>
  <c r="J43" i="7" l="1"/>
  <c r="J41" i="7" l="1"/>
  <c r="H13" i="2" l="1"/>
  <c r="H14" i="2"/>
  <c r="H16" i="2"/>
  <c r="J28" i="10" l="1"/>
  <c r="J39" i="8"/>
  <c r="F38" i="11" l="1"/>
  <c r="F37"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24" i="11" l="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F29" i="11"/>
  <c r="J31" i="9"/>
  <c r="F31" i="9"/>
  <c r="F31" i="7"/>
  <c r="G57" i="2"/>
  <c r="J16" i="6"/>
  <c r="F16" i="6"/>
  <c r="B48" i="2"/>
  <c r="F48" i="2" s="1"/>
  <c r="F31" i="6"/>
  <c r="F55" i="2" l="1"/>
  <c r="B57" i="2"/>
  <c r="H45" i="11"/>
  <c r="G45" i="11"/>
  <c r="D45" i="11"/>
  <c r="B45" i="11"/>
  <c r="B40" i="11"/>
  <c r="F40" i="11" s="1"/>
  <c r="H34" i="11"/>
  <c r="D34" i="11"/>
  <c r="D47" i="11" s="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D56" i="8" l="1"/>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B75" i="1" s="1"/>
  <c r="B77" i="1" s="1"/>
  <c r="B81" i="1" s="1"/>
  <c r="F38" i="2"/>
  <c r="J38" i="2"/>
  <c r="J52" i="2"/>
  <c r="H59" i="2"/>
  <c r="D75" i="1" s="1"/>
  <c r="D77" i="1" s="1"/>
  <c r="B60" i="1" l="1"/>
  <c r="B62" i="1" s="1"/>
  <c r="B68" i="1" s="1"/>
  <c r="B80" i="1" s="1"/>
  <c r="B82" i="1" l="1"/>
  <c r="D60" i="1"/>
  <c r="D62" i="1" s="1"/>
  <c r="D68" i="1" s="1"/>
  <c r="D80" i="1" s="1"/>
  <c r="D81" i="1" l="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<sst xmlns="http://schemas.openxmlformats.org/spreadsheetml/2006/main" count="883" uniqueCount="404">
  <si>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</si>
  <si>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</si>
  <si>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</si>
  <si>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</si>
  <si>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</si>
  <si>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</si>
  <si>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</si>
  <si>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</si>
  <si>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</si>
  <si>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</si>
  <si>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</si>
  <si>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</si>
  <si>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</si>
  <si>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</si>
  <si>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</si>
  <si>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</si>
  <si>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</si>
  <si>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</si>
  <si>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</si>
  <si>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</si>
  <si>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</si>
  <si>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</si>
  <si>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</si>
  <si>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</si>
  <si>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</si>
  <si>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</si>
  <si>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</si>
  <si>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</si>
  <si>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</si>
  <si>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</si>
  <si>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</si>
  <si>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</si>
  <si>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</si>
  <si>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</si>
  <si>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</si>
  <si>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</si>
  <si>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</si>
  <si>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</si>
  <si>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</si>
  <si>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</si>
  <si>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</si>
  <si>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</si>
  <si>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</si>
  <si>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</si>
  <si>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</si>
  <si>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</si>
  <si>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</si>
  <si>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</si>
  <si>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</si>
  <si>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</si>
  <si>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</si>
  <si>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</si>
  <si>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</si>
  <si>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</si>
  <si>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</si>
  <si>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</si>
  <si>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</si>
  <si>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</si>
  <si>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</si>
  <si>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</si>
  <si>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</si>
  <si>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</si>
  <si>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</si>
  <si>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</si>
  <si>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</si>
  <si>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</si>
  <si>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</si>
  <si>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</si>
  <si>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</si>
  <si>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</si>
  <si>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</si>
  <si>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</si>
  <si>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</si>
  <si>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</si>
  <si>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</si>
  <si>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</si>
  <si>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</si>
  <si>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</si>
  <si>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</si>
  <si>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</si>
  <si>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</si>
  <si>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</si>
  <si>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</si>
  <si>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</si>
  <si>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</si>
  <si>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</si>
  <si>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</si>
  <si>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</si>
  <si>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</si>
  <si>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</si>
  <si>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</si>
  <si>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</si>
  <si>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</si>
  <si>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</si>
  <si>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</si>
  <si>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</si>
  <si>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</si>
  <si>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</si>
  <si>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</si>
  <si>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</si>
  <si>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</si>
  <si>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</si>
  <si>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</si>
  <si>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</si>
  <si>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</si>
  <si>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</si>
  <si>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</si>
  <si>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</si>
  <si>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</si>
  <si>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</si>
  <si>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</si>
  <si>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</si>
  <si>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</si>
  <si>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</si>
  <si>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</si>
  <si>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</si>
  <si>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</si>
  <si>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</si>
  <si>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</si>
  <si>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</si>
  <si>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</si>
  <si>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</si>
  <si>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</si>
  <si>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</si>
  <si>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</si>
  <si>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</si>
  <si>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</si>
  <si>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</si>
  <si>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</si>
  <si>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</si>
  <si>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</si>
  <si>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</si>
  <si>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</si>
  <si>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</si>
  <si>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</si>
  <si>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</si>
  <si>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</si>
  <si>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</si>
  <si>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</si>
  <si>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</si>
  <si>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</si>
  <si>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</si>
  <si>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</si>
  <si>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</si>
  <si>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</si>
  <si>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</si>
  <si>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</si>
  <si>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</si>
  <si>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</si>
  <si>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</si>
  <si>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</si>
  <si>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</si>
  <si>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</si>
  <si>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</si>
  <si>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</si>
  <si>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</si>
  <si>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</si>
  <si>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</si>
  <si>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</si>
  <si>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</si>
  <si>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</si>
  <si>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</si>
  <si>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</si>
  <si>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</si>
  <si>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</si>
  <si>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</si>
  <si>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</si>
  <si>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</si>
  <si>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</si>
  <si>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</si>
  <si>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</si>
  <si>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</si>
  <si>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</si>
  <si>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</si>
  <si>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</si>
  <si>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</si>
  <si>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</si>
  <si>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</si>
  <si>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</si>
  <si>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</si>
  <si>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</si>
  <si>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</si>
  <si>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</si>
  <si>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</si>
  <si>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</si>
  <si>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</si>
  <si>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</si>
  <si>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</si>
  <si>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</si>
  <si>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</si>
  <si>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</si>
  <si>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</si>
  <si>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</si>
  <si>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</si>
  <si>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</si>
  <si>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</si>
  <si>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</si>
  <si>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</si>
  <si>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</si>
  <si>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</si>
  <si>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</si>
  <si>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</si>
  <si>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</si>
  <si>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</si>
  <si>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</si>
  <si>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</si>
  <si>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</si>
  <si>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</si>
  <si>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</si>
  <si>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</si>
  <si>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</si>
  <si>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</si>
  <si>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</si>
  <si>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</si>
  <si>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</si>
  <si>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</si>
  <si>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</si>
  <si>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</si>
  <si>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</si>
  <si>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</si>
  <si>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</si>
  <si>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</si>
  <si>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</si>
  <si>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</si>
  <si>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</si>
  <si>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</si>
  <si>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</si>
  <si>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</si>
  <si>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</si>
  <si>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</si>
  <si>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</si>
  <si>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</si>
  <si>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</si>
  <si>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</si>
  <si>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</si>
  <si>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</si>
  <si>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</si>
  <si>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</si>
  <si>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</si>
  <si>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</si>
  <si>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</si>
  <si>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</si>
  <si>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</si>
  <si>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</si>
  <si>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</si>
  <si>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</si>
  <si>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</si>
  <si>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</si>
  <si>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</si>
  <si>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</si>
  <si>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</si>
  <si>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</si>
  <si>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</si>
  <si>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</si>
  <si>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</si>
  <si>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</si>
  <si>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</si>
  <si>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</si>
  <si>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</si>
  <si>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</si>
  <si>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</si>
  <si>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</si>
  <si>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</si>
  <si>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</si>
  <si>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</si>
  <si>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</si>
  <si>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</si>
  <si>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</si>
  <si>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</si>
  <si>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</si>
  <si>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</si>
  <si>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</si>
  <si>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</si>
  <si>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</si>
  <si>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</si>
  <si>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</si>
  <si>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</si>
  <si>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</si>
  <si>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</si>
  <si>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</si>
  <si>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</si>
  <si>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</si>
  <si>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</si>
  <si>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</si>
  <si>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</si>
  <si>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</si>
  <si>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</si>
  <si>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</si>
  <si>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</si>
  <si>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</si>
  <si>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</si>
  <si>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</si>
  <si>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</si>
  <si>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</si>
  <si>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</si>
  <si>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</si>
  <si>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</si>
  <si>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</si>
  <si>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</si>
  <si>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</si>
  <si>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</si>
  <si>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</si>
  <si>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</si>
  <si>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</si>
  <si>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</si>
  <si>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</si>
  <si>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</si>
  <si>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</si>
  <si>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</si>
  <si>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</si>
  <si>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</si>
  <si>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</si>
  <si>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</si>
  <si>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</si>
  <si>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</si>
  <si>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</si>
  <si>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</si>
  <si>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</si>
  <si>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</si>
  <si>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</si>
  <si>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</si>
  <si>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</si>
  <si>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</si>
  <si>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</si>
  <si>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</si>
  <si>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</si>
  <si>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</si>
  <si>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</si>
  <si>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</si>
  <si>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</si>
  <si>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</si>
  <si>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</si>
  <si>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</si>
  <si>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</si>
  <si>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</si>
  <si>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</si>
  <si>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</si>
  <si>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</si>
  <si>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</si>
  <si>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</si>
  <si>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</si>
  <si>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</si>
  <si>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</si>
  <si>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</si>
  <si>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</si>
  <si>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</si>
  <si>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</si>
  <si>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</si>
  <si>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</si>
  <si>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</si>
  <si>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</si>
  <si>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</si>
  <si>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</si>
  <si>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</si>
  <si>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</si>
  <si>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</si>
  <si>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</si>
  <si>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</si>
  <si>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</si>
  <si>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</si>
  <si>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</si>
  <si>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</si>
  <si>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</si>
  <si>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</si>
  <si>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</si>
  <si>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</si>
  <si>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</si>
  <si>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</si>
  <si>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</si>
  <si>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</si>
  <si>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</si>
  <si>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</si>
  <si>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</si>
  <si>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</si>
  <si>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</si>
  <si>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</si>
  <si>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</si>
  <si>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</si>
  <si>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</si>
  <si>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</si>
  <si>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</si>
  <si>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</si>
  <si>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</si>
  <si>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</si>
  <si>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</si>
  <si>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</si>
  <si>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</si>
  <si>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</si>
  <si>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</si>
  <si>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</si>
  <si>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</si>
  <si>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</si>
  <si>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</si>
  <si>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</si>
  <si>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</si>
  <si>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</si>
  <si>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</si>
  <si>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</si>
  <si>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</si>
  <si>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</si>
  <si>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</si>
  <si>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August 31, 2023</t>
  </si>
  <si>
    <t>2023 Limited tax bonds</t>
  </si>
  <si>
    <t>SBITA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</si>
</sst>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53" zoomScaleNormal="100" workbookViewId="0">
      <selection activeCell="B75" sqref="B75"/>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6" t="s">
        <v>0</v>
      </c>
      <c r="B1" s="126"/>
      <c r="C1" s="126"/>
      <c r="D1" s="126"/>
      <c r="E1" s="61"/>
    </row>
    <row r="2" spans="1:7" x14ac:dyDescent="0.25">
      <c r="A2" s="126" t="s">
        <v>281</v>
      </c>
      <c r="B2" s="126"/>
      <c r="C2" s="126"/>
      <c r="D2" s="126"/>
      <c r="E2" s="126"/>
    </row>
    <row r="3" spans="1:7" x14ac:dyDescent="0.25">
      <c r="A3" s="127" t="s">
        <v>401</v>
      </c>
      <c r="B3" s="127"/>
      <c r="C3" s="127"/>
      <c r="D3" s="127"/>
      <c r="E3" s="127"/>
    </row>
    <row r="4" spans="1:7" ht="7.5" customHeight="1" x14ac:dyDescent="0.25"/>
    <row r="5" spans="1:7" x14ac:dyDescent="0.25">
      <c r="B5" s="16">
        <v>2023</v>
      </c>
      <c r="C5" s="56"/>
      <c r="D5" s="16">
        <v>2022</v>
      </c>
    </row>
    <row r="6" spans="1:7" x14ac:dyDescent="0.25">
      <c r="A6" s="29" t="s">
        <v>14</v>
      </c>
      <c r="B6" s="56"/>
      <c r="C6" s="56"/>
      <c r="D6" s="56"/>
    </row>
    <row r="7" spans="1:7" x14ac:dyDescent="0.25">
      <c r="A7" s="4" t="s">
        <v>1</v>
      </c>
      <c r="B7" s="5"/>
      <c r="C7" s="5"/>
      <c r="D7" s="5"/>
    </row>
    <row r="8" spans="1:7" x14ac:dyDescent="0.25">
      <c r="A8" s="10" t="s">
        <v>2</v>
      </c>
      <c r="B8" s="7">
        <v>4629554.47</v>
      </c>
      <c r="C8" s="5"/>
      <c r="D8" s="7">
        <v>1762538.06</v>
      </c>
      <c r="E8" s="16" t="s">
        <v>95</v>
      </c>
      <c r="F8" s="45"/>
    </row>
    <row r="9" spans="1:7" x14ac:dyDescent="0.25">
      <c r="A9" s="10" t="s">
        <v>3</v>
      </c>
      <c r="B9" s="5">
        <v>-518890.25</v>
      </c>
      <c r="C9" s="5"/>
      <c r="D9" s="5">
        <v>-70538.720000000001</v>
      </c>
      <c r="E9" s="16" t="s">
        <v>96</v>
      </c>
      <c r="F9" s="45"/>
    </row>
    <row r="10" spans="1:7" x14ac:dyDescent="0.25">
      <c r="A10" s="10" t="s">
        <v>4</v>
      </c>
      <c r="B10" s="5">
        <v>30096302.629999999</v>
      </c>
      <c r="C10" s="5"/>
      <c r="D10" s="5">
        <v>20101242.73</v>
      </c>
      <c r="E10" s="16" t="s">
        <v>97</v>
      </c>
      <c r="F10" s="46"/>
    </row>
    <row r="11" spans="1:7" x14ac:dyDescent="0.25">
      <c r="A11" s="10" t="s">
        <v>5</v>
      </c>
      <c r="B11" s="5">
        <v>2211.9299999999998</v>
      </c>
      <c r="C11" s="5"/>
      <c r="D11" s="5">
        <v>107.62</v>
      </c>
      <c r="E11" s="16" t="s">
        <v>97</v>
      </c>
      <c r="F11" s="46"/>
      <c r="G11" s="14"/>
    </row>
    <row r="12" spans="1:7" x14ac:dyDescent="0.25">
      <c r="A12" s="10" t="s">
        <v>6</v>
      </c>
      <c r="B12" s="5">
        <v>4784263.5999999996</v>
      </c>
      <c r="C12" s="5"/>
      <c r="D12" s="5">
        <v>7919997.4000000004</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79813.36</v>
      </c>
      <c r="C15" s="5"/>
      <c r="D15" s="8">
        <v>75774.25</v>
      </c>
      <c r="E15" s="56" t="s">
        <v>101</v>
      </c>
    </row>
    <row r="16" spans="1:7" ht="16.5" x14ac:dyDescent="0.35">
      <c r="A16" s="30" t="s">
        <v>8</v>
      </c>
      <c r="B16" s="8">
        <f>SUM(B8:B15)</f>
        <v>39410189.330000006</v>
      </c>
      <c r="C16" s="5"/>
      <c r="D16" s="8">
        <f>SUM(D8:D15)</f>
        <v>30163447.510000005</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105889214.69</v>
      </c>
      <c r="C28" s="5"/>
      <c r="D28" s="8">
        <f>+D16+D22+D26</f>
        <v>94405633.510000005</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997118.61</v>
      </c>
      <c r="C32" s="5"/>
      <c r="D32" s="5">
        <v>845987.94</v>
      </c>
      <c r="E32" s="16" t="s">
        <v>109</v>
      </c>
    </row>
    <row r="33" spans="1:5" x14ac:dyDescent="0.25">
      <c r="A33" s="10" t="s">
        <v>17</v>
      </c>
      <c r="B33" s="5">
        <v>707211.4</v>
      </c>
      <c r="C33" s="5"/>
      <c r="D33" s="5">
        <v>636758.54</v>
      </c>
      <c r="E33" s="16" t="s">
        <v>193</v>
      </c>
    </row>
    <row r="34" spans="1:5" x14ac:dyDescent="0.25">
      <c r="A34" s="10" t="s">
        <v>18</v>
      </c>
      <c r="B34" s="5">
        <v>234991.57</v>
      </c>
      <c r="C34" s="5"/>
      <c r="D34" s="5">
        <v>215757.98</v>
      </c>
      <c r="E34" s="56" t="s">
        <v>260</v>
      </c>
    </row>
    <row r="35" spans="1:5" ht="16.5" x14ac:dyDescent="0.35">
      <c r="A35" s="10" t="s">
        <v>19</v>
      </c>
      <c r="B35" s="8">
        <v>3741154.86</v>
      </c>
      <c r="C35" s="5"/>
      <c r="D35" s="8">
        <v>4493425.2699999996</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5680476.4399999995</v>
      </c>
      <c r="C41" s="5"/>
      <c r="D41" s="8">
        <f>SUM(D32:D35)</f>
        <v>6191929.7299999995</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402</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403</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62931865.449999996</v>
      </c>
      <c r="C62" s="5"/>
      <c r="D62" s="8">
        <f>+D41+D60</f>
        <v>57103250.729999997</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76223455.449999988</v>
      </c>
      <c r="C68" s="5"/>
      <c r="D68" s="8">
        <f>+D62+D66</f>
        <v>67307388.729999989</v>
      </c>
    </row>
    <row r="69" spans="1:8" ht="7.5" customHeight="1" x14ac:dyDescent="0.25">
      <c r="B69" s="5"/>
      <c r="C69" s="5"/>
      <c r="D69" s="5"/>
    </row>
    <row r="70" spans="1:8" x14ac:dyDescent="0.25">
      <c r="A70" s="29" t="s">
        <v>282</v>
      </c>
      <c r="B70" s="5"/>
      <c r="C70" s="5"/>
      <c r="D70" s="5"/>
    </row>
    <row r="71" spans="1:8" x14ac:dyDescent="0.25">
      <c r="A71" s="4" t="s">
        <v>29</v>
      </c>
      <c r="B71" s="5">
        <v>29061045.899999999</v>
      </c>
      <c r="C71" s="5"/>
      <c r="D71" s="5">
        <v>23523517.940000001</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604713.34000000358</v>
      </c>
      <c r="C75" s="5"/>
      <c r="D75" s="8">
        <f>+'Revenues, Expenditures, Changes'!H59</f>
        <v>3574726.8399999961</v>
      </c>
    </row>
    <row r="76" spans="1:8" ht="7.5" customHeight="1" x14ac:dyDescent="0.35">
      <c r="B76" s="8"/>
      <c r="C76" s="5"/>
      <c r="D76" s="8"/>
    </row>
    <row r="77" spans="1:8" ht="16.5" x14ac:dyDescent="0.35">
      <c r="A77" s="4" t="s">
        <v>283</v>
      </c>
      <c r="B77" s="9">
        <f>SUM(B71:B76)</f>
        <v>29665759.240000002</v>
      </c>
      <c r="C77" s="5"/>
      <c r="D77" s="9">
        <f>SUM(D71:D76)</f>
        <v>27098244.779999997</v>
      </c>
      <c r="F77" s="46"/>
      <c r="G77" s="14"/>
      <c r="H77" s="15"/>
    </row>
    <row r="78" spans="1:8" x14ac:dyDescent="0.25">
      <c r="B78" s="5"/>
      <c r="C78" s="5"/>
      <c r="D78" s="5"/>
      <c r="H78" s="15"/>
    </row>
    <row r="79" spans="1:8" x14ac:dyDescent="0.25">
      <c r="B79" s="5"/>
      <c r="C79" s="5"/>
      <c r="D79" s="5"/>
    </row>
    <row r="80" spans="1:8" x14ac:dyDescent="0.25">
      <c r="A80" s="92" t="s">
        <v>359</v>
      </c>
      <c r="B80" s="5">
        <f>+B28-B68</f>
        <v>29665759.24000001</v>
      </c>
      <c r="C80" s="5"/>
      <c r="D80" s="5">
        <f>+D28-D68</f>
        <v>27098244.780000016</v>
      </c>
    </row>
    <row r="81" spans="1:4" ht="16.5" x14ac:dyDescent="0.35">
      <c r="A81" s="92" t="s">
        <v>360</v>
      </c>
      <c r="B81" s="83">
        <f>+B77-B80</f>
        <v>0</v>
      </c>
      <c r="C81" s="83"/>
      <c r="D81" s="83">
        <f t="shared" ref="D81" si="0">+D77-D80</f>
        <v>0</v>
      </c>
    </row>
    <row r="82" spans="1:4" ht="16.5" x14ac:dyDescent="0.35">
      <c r="B82" s="62">
        <f>SUM(B80:B81)</f>
        <v>29665759.24000001</v>
      </c>
      <c r="C82" s="62"/>
      <c r="D82" s="62">
        <f>SUM(D80:D81)</f>
        <v>27098244.780000016</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B75" sqref="B75"/>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28" t="s">
        <v>0</v>
      </c>
      <c r="B1" s="128"/>
      <c r="C1" s="128"/>
      <c r="D1" s="128"/>
      <c r="E1" s="128"/>
      <c r="F1" s="128"/>
      <c r="G1" s="128"/>
      <c r="H1" s="128"/>
    </row>
    <row r="2" spans="1:8" x14ac:dyDescent="0.25">
      <c r="A2" s="129" t="s">
        <v>393</v>
      </c>
      <c r="B2" s="129"/>
      <c r="C2" s="129"/>
      <c r="D2" s="129"/>
      <c r="E2" s="129"/>
      <c r="F2" s="129"/>
      <c r="G2" s="129"/>
      <c r="H2" s="129"/>
    </row>
    <row r="3" spans="1:8" x14ac:dyDescent="0.25">
      <c r="A3" s="130" t="str">
        <f>+'Statement of Net Position'!A3:E3</f>
        <v>August 31, 2023</v>
      </c>
      <c r="B3" s="130"/>
      <c r="C3" s="130"/>
      <c r="D3" s="130"/>
      <c r="E3" s="130"/>
      <c r="F3" s="130"/>
      <c r="G3" s="130"/>
      <c r="H3" s="130"/>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31" zoomScaleNormal="100" workbookViewId="0">
      <selection activeCell="B75" sqref="B75"/>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+'Statement of Net Position'!A3:E3</f>
        <v>August 31, 2023</v>
      </c>
      <c r="B3" s="127"/>
      <c r="C3" s="127"/>
      <c r="D3" s="127"/>
      <c r="E3" s="127"/>
      <c r="F3" s="127"/>
      <c r="G3" s="127"/>
      <c r="H3" s="127"/>
      <c r="I3" s="127"/>
      <c r="J3" s="127"/>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44804</v>
      </c>
    </row>
    <row r="9" spans="1:11" x14ac:dyDescent="0.25">
      <c r="B9" s="22" t="s">
        <v>33</v>
      </c>
      <c r="C9" s="56"/>
      <c r="D9" s="23" t="s">
        <v>35</v>
      </c>
      <c r="E9" s="56"/>
      <c r="F9" s="22" t="s">
        <v>33</v>
      </c>
      <c r="G9" s="56"/>
      <c r="H9" s="24">
        <v>44804</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2">
        <f>+'Rev, Exp, Cha Unrestricted'!D10+'Rev, Exp, Cha Federal Restrict'!D10+'Rev, Exp, Cha State Restr '!D10+'Rev, Exp, Cha Local Restr '!D10+'Rev, Exp, Cha Debt Service'!D10</f>
        <v>5102088</v>
      </c>
      <c r="F11" s="3">
        <f t="shared" ref="F11:F23" si="0">+(D11-B11)/B11+1</f>
        <v>1</v>
      </c>
      <c r="H11" s="32">
        <f>+'Rev, Exp, Cha Unrestricted'!H10+'Rev, Exp, Cha Federal Restrict'!H10+'Rev, Exp, Cha State Restr '!H10+'Rev, Exp, Cha Local Restr '!H10+'Rev, Exp, Cha Debt Service'!H10</f>
        <v>5102088</v>
      </c>
      <c r="J11" s="3">
        <f>+(D11-H11)/H11+1</f>
        <v>1</v>
      </c>
      <c r="K11" s="16" t="s">
        <v>111</v>
      </c>
    </row>
    <row r="12" spans="1:11" x14ac:dyDescent="0.25">
      <c r="A12" s="4" t="s">
        <v>92</v>
      </c>
      <c r="B12" s="25"/>
      <c r="C12" s="6"/>
      <c r="D12" s="32"/>
      <c r="F12" s="3"/>
      <c r="H12" s="32"/>
      <c r="J12" s="3"/>
    </row>
    <row r="13" spans="1:11" x14ac:dyDescent="0.25">
      <c r="A13" s="10" t="s">
        <v>93</v>
      </c>
      <c r="B13" s="5">
        <f>+'Rev, Exp, Cha Unrestricted'!B12</f>
        <v>364341</v>
      </c>
      <c r="C13" s="6"/>
      <c r="D13" s="5">
        <f>+'Rev, Exp, Cha Unrestricted'!D12</f>
        <v>364341.4</v>
      </c>
      <c r="F13" s="3">
        <f t="shared" si="0"/>
        <v>1.0000010978725975</v>
      </c>
      <c r="H13" s="5">
        <f>+'Rev, Exp, Cha Unrestricted'!H12</f>
        <v>702737</v>
      </c>
      <c r="J13" s="3">
        <f>+(D13-H13)/H13+1</f>
        <v>0.51846053359934086</v>
      </c>
      <c r="K13" s="16" t="s">
        <v>112</v>
      </c>
    </row>
    <row r="14" spans="1:11" x14ac:dyDescent="0.25">
      <c r="A14" s="10" t="s">
        <v>94</v>
      </c>
      <c r="B14" s="5">
        <f>+'Rev, Exp, Cha Unrestricted'!B13</f>
        <v>442999</v>
      </c>
      <c r="C14" s="6"/>
      <c r="D14" s="5">
        <f>+'Rev, Exp, Cha Unrestricted'!D13</f>
        <v>564032.47</v>
      </c>
      <c r="F14" s="3">
        <f t="shared" si="0"/>
        <v>1.2732138672999262</v>
      </c>
      <c r="H14" s="5">
        <f>+'Rev, Exp, Cha Unrestricted'!H13</f>
        <v>87079.66</v>
      </c>
      <c r="J14" s="3">
        <f>+(D14-H14)/H14+1</f>
        <v>6.4772011052868139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13735123.380000001</v>
      </c>
      <c r="F16" s="3">
        <f t="shared" si="0"/>
        <v>1.0211814535783335</v>
      </c>
      <c r="H16" s="5">
        <f>+'Rev, Exp, Cha Unrestricted'!H15+'Rev, Exp, Cha Federal Restrict'!H15+'Rev, Exp, Cha State Restr '!H15+'Rev, Exp, Cha Local Restr '!H15+'Rev, Exp, Cha Debt Service'!H12</f>
        <v>13436062.789999999</v>
      </c>
      <c r="J16" s="3">
        <f>+(D16-H16)/H16+1</f>
        <v>1.0222580524275744</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2679245.21</v>
      </c>
      <c r="F17" s="3">
        <f t="shared" si="0"/>
        <v>1.0188840266992396</v>
      </c>
      <c r="H17" s="5">
        <f>+'Rev, Exp, Cha Unrestricted'!H16+'Rev, Exp, Cha Federal Restrict'!H16+'Rev, Exp, Cha State Restr '!H16+'Rev, Exp, Cha Local Restr '!H16+'Rev, Exp, Cha Debt Service'!H13</f>
        <v>2707086.72</v>
      </c>
      <c r="J17" s="3">
        <f>+(D17-H17)/H17+1</f>
        <v>0.98971532393317629</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4007435</v>
      </c>
      <c r="F19" s="3">
        <f t="shared" si="0"/>
        <v>0.93516336629735575</v>
      </c>
      <c r="H19" s="5">
        <f>+'Rev, Exp, Cha Unrestricted'!H18+'Rev, Exp, Cha Federal Restrict'!H18+'Rev, Exp, Cha State Restr '!H18+'Rev, Exp, Cha Local Restr '!H18+'Rev, Exp, Cha Debt Service'!H15</f>
        <v>3730047.24</v>
      </c>
      <c r="J19" s="3">
        <f>+(D19-H19)/H19+1</f>
        <v>1.0743657498557577</v>
      </c>
      <c r="K19" s="16" t="s">
        <v>118</v>
      </c>
      <c r="M19" s="51"/>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1215082.26</v>
      </c>
      <c r="F20" s="3">
        <f t="shared" si="0"/>
        <v>0.84990995061762931</v>
      </c>
      <c r="H20" s="5">
        <f>+'Rev, Exp, Cha Unrestricted'!H19+'Rev, Exp, Cha Federal Restrict'!H19+'Rev, Exp, Cha State Restr '!H19+'Rev, Exp, Cha Local Restr '!H19+'Rev, Exp, Cha Debt Service'!H16</f>
        <v>1590064.92</v>
      </c>
      <c r="J20" s="3">
        <f>+(D20-H20)/H20+1</f>
        <v>0.76417147797965379</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-214598</v>
      </c>
      <c r="F21" s="3">
        <f t="shared" si="0"/>
        <v>0.9754454545454545</v>
      </c>
      <c r="H21" s="5">
        <f>+'Rev, Exp, Cha Unrestricted'!H20+'Rev, Exp, Cha Federal Restrict'!H20+'Rev, Exp, Cha State Restr '!H20+'Rev, Exp, Cha Local Restr '!H20+'Rev, Exp, Cha Debt Service'!H17</f>
        <v>-225150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4236703.3600000003</v>
      </c>
      <c r="F23" s="3">
        <f t="shared" si="0"/>
        <v>0.83337940025921753</v>
      </c>
      <c r="H23" s="5">
        <f>+'Rev, Exp, Cha Unrestricted'!H22+'Rev, Exp, Cha Federal Restrict'!H22+'Rev, Exp, Cha State Restr '!H22+'Rev, Exp, Cha Local Restr '!H22+'Rev, Exp, Cha Debt Service'!H19</f>
        <v>4246579.26</v>
      </c>
      <c r="J23" s="3">
        <f>+(D23-H23)/H23+1</f>
        <v>0.99767438698412536</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-304068.88</v>
      </c>
      <c r="F26" s="3">
        <f t="shared" ref="F26:F33" si="1">+(D26-B26)/B26+1</f>
        <v>1.0135629333333334</v>
      </c>
      <c r="H26" s="5">
        <f>+'Rev, Exp, Cha Unrestricted'!H25+'Rev, Exp, Cha Federal Restrict'!H25+'Rev, Exp, Cha State Restr '!H25+'Rev, Exp, Cha Local Restr '!H25+'Rev, Exp, Cha Debt Service'!H22</f>
        <v>-354689</v>
      </c>
      <c r="J26" s="3">
        <f t="shared" ref="J26:J33" si="2">+(D26-H26)/H26+1</f>
        <v>0.8572830846177919</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484840.29</v>
      </c>
      <c r="F28" s="3">
        <f t="shared" si="1"/>
        <v>1.0937686312108736</v>
      </c>
      <c r="H28" s="5">
        <f>+'Rev, Exp, Cha Unrestricted'!H27+'Rev, Exp, Cha Federal Restrict'!H27+'Rev, Exp, Cha State Restr '!H27+'Rev, Exp, Cha Local Restr '!H27+'Rev, Exp, Cha Debt Service'!H24</f>
        <v>464514.55</v>
      </c>
      <c r="J28" s="3">
        <f t="shared" si="2"/>
        <v>1.0437569501321327</v>
      </c>
      <c r="K28" s="16" t="s">
        <v>126</v>
      </c>
    </row>
    <row r="29" spans="1:13" x14ac:dyDescent="0.25">
      <c r="A29" s="4" t="s">
        <v>200</v>
      </c>
      <c r="B29" s="6">
        <v>0</v>
      </c>
      <c r="C29" s="6"/>
      <c r="D29" s="5">
        <f>+'Rev, Exp, Cha Debt Service'!D25</f>
        <v>10247729.6</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595151.01</v>
      </c>
      <c r="F30" s="3">
        <f t="shared" si="1"/>
        <v>5.9515101000000001</v>
      </c>
      <c r="H30" s="5">
        <f>+'Rev, Exp, Cha Unrestricted'!H28+'Rev, Exp, Cha Federal Restrict'!H28+'Rev, Exp, Cha State Restr '!H28+'Rev, Exp, Cha Local Restr '!H28+'Rev, Exp, Cha Debt Service'!H26</f>
        <v>95239.28</v>
      </c>
      <c r="J30" s="3">
        <f t="shared" si="2"/>
        <v>6.2490078673421303</v>
      </c>
      <c r="K30" s="16" t="s">
        <v>127</v>
      </c>
    </row>
    <row r="31" spans="1:13" x14ac:dyDescent="0.25">
      <c r="A31" s="4" t="s">
        <v>64</v>
      </c>
      <c r="B31" s="6">
        <f>+'Rev, Exp, Cha Auxiliary'!B13</f>
        <v>2574800</v>
      </c>
      <c r="C31" s="6"/>
      <c r="D31" s="5">
        <f>+'Rev, Exp, Cha Auxiliary'!D13</f>
        <v>2270242.66</v>
      </c>
      <c r="F31" s="3">
        <f t="shared" si="1"/>
        <v>0.88171611775671899</v>
      </c>
      <c r="H31" s="5">
        <f>+'Rev, Exp, Cha Auxiliary'!H13</f>
        <v>3629137.07</v>
      </c>
      <c r="J31" s="3">
        <f t="shared" si="2"/>
        <v>0.62555991030672209</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165984.39000000001</v>
      </c>
      <c r="F32" s="3">
        <f t="shared" si="1"/>
        <v>1.6707034725717163</v>
      </c>
      <c r="H32" s="5">
        <f>+'Rev, Exp, Cha Unrestricted'!H30+'Rev, Exp, Cha Federal Restrict'!H30+'Rev, Exp, Cha State Restr '!H30+'Rev, Exp, Cha Local Restr '!H30+'Rev, Exp, Cha Debt Service'!H28</f>
        <v>1354320.71</v>
      </c>
      <c r="J32" s="3">
        <f t="shared" si="2"/>
        <v>0.12255914627488795</v>
      </c>
      <c r="K32" s="16" t="s">
        <v>129</v>
      </c>
    </row>
    <row r="33" spans="1:11" x14ac:dyDescent="0.25">
      <c r="A33" s="4" t="s">
        <v>63</v>
      </c>
      <c r="B33" s="6">
        <f>+'Rev, Exp, Cha Unrestricted'!B31+'Rev, Exp, Cha Federal Restrict'!B31+'Rev, Exp, Cha State Restr '!B31+'Rev, Exp, Cha Local Restr '!B31+'Rev, Exp, Cha Debt Service'!B29</f>
        <v>5928681.5599999996</v>
      </c>
      <c r="C33" s="6"/>
      <c r="D33" s="5">
        <f>+'Rev, Exp, Cha Unrestricted'!D31+'Rev, Exp, Cha Federal Restrict'!D31+'Rev, Exp, Cha State Restr '!D31+'Rev, Exp, Cha Local Restr '!D31+'Rev, Exp, Cha Debt Service'!D29</f>
        <v>5928681.5599999996</v>
      </c>
      <c r="F33" s="3">
        <f t="shared" si="1"/>
        <v>1</v>
      </c>
      <c r="H33" s="5">
        <f>+'Rev, Exp, Cha Unrestricted'!H31+'Rev, Exp, Cha Federal Restrict'!H31+'Rev, Exp, Cha State Restr '!H31+'Rev, Exp, Cha Local Restr '!H31+'Rev, Exp, Cha Debt Service'!H29</f>
        <v>6886224.5599999996</v>
      </c>
      <c r="J33" s="3">
        <f t="shared" si="2"/>
        <v>0.86094804320467877</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4101273.39</v>
      </c>
      <c r="C35" s="6"/>
      <c r="D35" s="5">
        <f>+'Rev, Exp, Cha Unrestricted'!D33+'Rev, Exp, Cha Federal Restrict'!D33+'Rev, Exp, Cha State Restr '!D33+'Rev, Exp, Cha Local Restr '!D33+'Rev, Exp, Cha Debt Service'!D31</f>
        <v>4101273.39</v>
      </c>
      <c r="F35" s="3">
        <f t="shared" ref="F35:F38" si="3">+(D35-B35)/B35+1</f>
        <v>1</v>
      </c>
      <c r="H35" s="5">
        <f>+'Rev, Exp, Cha Unrestricted'!H33+'Rev, Exp, Cha Federal Restrict'!H33+'Rev, Exp, Cha State Restr '!H33+'Rev, Exp, Cha Local Restr '!H33+'Rev, Exp, Cha Debt Service'!H31</f>
        <v>6652583.2999999998</v>
      </c>
      <c r="J35" s="3">
        <f t="shared" ref="J35:J38" si="4">+(D35-H35)/H35+1</f>
        <v>0.61649335379235315</v>
      </c>
      <c r="K35" s="16" t="s">
        <v>140</v>
      </c>
    </row>
    <row r="36" spans="1:11" x14ac:dyDescent="0.25">
      <c r="A36" s="10" t="s">
        <v>52</v>
      </c>
      <c r="B36" s="6">
        <f>+'Rev, Exp, Cha Unrestricted'!B34+'Rev, Exp, Cha Federal Restrict'!B34+'Rev, Exp, Cha State Restr '!B34+'Rev, Exp, Cha Local Restr '!B34+'Rev, Exp, Cha Debt Service'!B32</f>
        <v>407212.69</v>
      </c>
      <c r="C36" s="6"/>
      <c r="D36" s="5">
        <f>+'Rev, Exp, Cha Unrestricted'!D34+'Rev, Exp, Cha Federal Restrict'!D34+'Rev, Exp, Cha State Restr '!D34+'Rev, Exp, Cha Local Restr '!D34+'Rev, Exp, Cha Debt Service'!D32</f>
        <v>329142.69</v>
      </c>
      <c r="F36" s="3">
        <f t="shared" si="3"/>
        <v>0.808282006142785</v>
      </c>
      <c r="H36" s="5">
        <f>+'Rev, Exp, Cha Unrestricted'!H34+'Rev, Exp, Cha Federal Restrict'!H34+'Rev, Exp, Cha State Restr '!H34+'Rev, Exp, Cha Local Restr '!H34+'Rev, Exp, Cha Debt Service'!H32</f>
        <v>793199.53</v>
      </c>
      <c r="J36" s="3">
        <f t="shared" si="4"/>
        <v>0.41495572999141839</v>
      </c>
      <c r="K36" s="16" t="s">
        <v>141</v>
      </c>
    </row>
    <row r="37" spans="1:11" ht="16.5" x14ac:dyDescent="0.35">
      <c r="A37" s="10" t="s">
        <v>54</v>
      </c>
      <c r="B37" s="26">
        <f>+'Rev, Exp, Cha Unrestricted'!B35+'Rev, Exp, Cha Federal Restrict'!B35+'Rev, Exp, Cha State Restr '!B35+'Rev, Exp, Cha Local Restr '!B35+'Rev, Exp, Cha Debt Service'!B33</f>
        <v>395549.21</v>
      </c>
      <c r="C37" s="6"/>
      <c r="D37" s="8">
        <f>+'Rev, Exp, Cha Unrestricted'!D35+'Rev, Exp, Cha Federal Restrict'!D35+'Rev, Exp, Cha State Restr '!D35+'Rev, Exp, Cha Local Restr '!D35+'Rev, Exp, Cha Debt Service'!D33</f>
        <v>1003227.22</v>
      </c>
      <c r="F37" s="3">
        <f t="shared" si="3"/>
        <v>2.5362892773821999</v>
      </c>
      <c r="H37" s="8">
        <f>+'Rev, Exp, Cha Unrestricted'!H35+'Rev, Exp, Cha Federal Restrict'!H35+'Rev, Exp, Cha State Restr '!H35+'Rev, Exp, Cha Local Restr '!H35+'Rev, Exp, Cha Debt Service'!H33</f>
        <v>812779.63</v>
      </c>
      <c r="J37" s="3">
        <f t="shared" si="4"/>
        <v>1.2343163915168494</v>
      </c>
      <c r="K37" s="16" t="s">
        <v>142</v>
      </c>
    </row>
    <row r="38" spans="1:11" ht="16.5" x14ac:dyDescent="0.35">
      <c r="A38" s="56" t="s">
        <v>55</v>
      </c>
      <c r="B38" s="26">
        <f>SUM(B11:B37)</f>
        <v>46318086.850000001</v>
      </c>
      <c r="C38" s="6"/>
      <c r="D38" s="8">
        <f>SUM(D11:D37)</f>
        <v>56511657.010000005</v>
      </c>
      <c r="F38" s="3">
        <f t="shared" si="3"/>
        <v>1.2200775302531737</v>
      </c>
      <c r="H38" s="8">
        <f>SUM(H11:H37)</f>
        <v>51709905.219999999</v>
      </c>
      <c r="J38" s="3">
        <f t="shared" si="4"/>
        <v>1.0928594196715491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13982905.75</v>
      </c>
      <c r="C41" s="6"/>
      <c r="D41" s="5">
        <f>+'Rev, Exp, Cha Unrestricted'!D39+'Rev, Exp, Cha Federal Restrict'!D39+'Rev, Exp, Cha State Restr '!D39+'Rev, Exp, Cha Local Restr '!D39</f>
        <v>13094874.359999999</v>
      </c>
      <c r="F41" s="3">
        <f t="shared" ref="F41:F52" si="5">+(D41-B41)/B41+1</f>
        <v>0.93649164158887355</v>
      </c>
      <c r="H41" s="5">
        <f>+'Rev, Exp, Cha Unrestricted'!H39+'Rev, Exp, Cha Federal Restrict'!H39+'Rev, Exp, Cha State Restr '!H39+'Rev, Exp, Cha Local Restr '!H39</f>
        <v>12630074.669999998</v>
      </c>
      <c r="J41" s="3">
        <f t="shared" ref="J41:J48" si="6">+(D41-H41)/H41+1</f>
        <v>1.0368010247084312</v>
      </c>
      <c r="K41" s="16" t="s">
        <v>143</v>
      </c>
    </row>
    <row r="42" spans="1:11" x14ac:dyDescent="0.25">
      <c r="A42" s="4" t="s">
        <v>58</v>
      </c>
      <c r="B42" s="6">
        <f>+'Rev, Exp, Cha Unrestricted'!B40+'Rev, Exp, Cha Federal Restrict'!B40+'Rev, Exp, Cha State Restr '!B40+'Rev, Exp, Cha Local Restr '!B40</f>
        <v>340335</v>
      </c>
      <c r="C42" s="6"/>
      <c r="D42" s="5">
        <f>+'Rev, Exp, Cha Unrestricted'!D40+'Rev, Exp, Cha Federal Restrict'!D40+'Rev, Exp, Cha State Restr '!D40+'Rev, Exp, Cha Local Restr '!D40</f>
        <v>265145.49</v>
      </c>
      <c r="F42" s="3">
        <f t="shared" si="5"/>
        <v>0.77907206135131557</v>
      </c>
      <c r="H42" s="5">
        <f>+'Rev, Exp, Cha Unrestricted'!H40+'Rev, Exp, Cha Federal Restrict'!H40+'Rev, Exp, Cha State Restr '!H40+'Rev, Exp, Cha Local Restr '!H40</f>
        <v>247375.2</v>
      </c>
      <c r="J42" s="3">
        <f t="shared" si="6"/>
        <v>1.0718353739582624</v>
      </c>
      <c r="K42" s="16" t="s">
        <v>146</v>
      </c>
    </row>
    <row r="43" spans="1:11" x14ac:dyDescent="0.25">
      <c r="A43" s="4" t="s">
        <v>59</v>
      </c>
      <c r="B43" s="6">
        <f>+'Rev, Exp, Cha Unrestricted'!B41+'Rev, Exp, Cha Federal Restrict'!B41+'Rev, Exp, Cha State Restr '!B41+'Rev, Exp, Cha Local Restr '!B41</f>
        <v>3673597</v>
      </c>
      <c r="C43" s="6"/>
      <c r="D43" s="5">
        <f>+'Rev, Exp, Cha Unrestricted'!D41+'Rev, Exp, Cha Federal Restrict'!D41+'Rev, Exp, Cha State Restr '!D41+'Rev, Exp, Cha Local Restr '!D41</f>
        <v>3361680.72</v>
      </c>
      <c r="F43" s="3">
        <f t="shared" si="5"/>
        <v>0.91509240670656045</v>
      </c>
      <c r="H43" s="5">
        <f>+'Rev, Exp, Cha Unrestricted'!H41+'Rev, Exp, Cha Federal Restrict'!H41+'Rev, Exp, Cha State Restr '!H41+'Rev, Exp, Cha Local Restr '!H41</f>
        <v>3444750.75</v>
      </c>
      <c r="J43" s="3">
        <f t="shared" si="6"/>
        <v>0.97588503899737888</v>
      </c>
      <c r="K43" s="16" t="s">
        <v>151</v>
      </c>
    </row>
    <row r="44" spans="1:11" x14ac:dyDescent="0.25">
      <c r="A44" s="4" t="s">
        <v>60</v>
      </c>
      <c r="B44" s="6">
        <f>+'Rev, Exp, Cha Unrestricted'!B42+'Rev, Exp, Cha Federal Restrict'!B42+'Rev, Exp, Cha State Restr '!B42+'Rev, Exp, Cha Local Restr '!B42</f>
        <v>3817234.95</v>
      </c>
      <c r="C44" s="6"/>
      <c r="D44" s="5">
        <f>+'Rev, Exp, Cha Unrestricted'!D42+'Rev, Exp, Cha Federal Restrict'!D42+'Rev, Exp, Cha State Restr '!D42+'Rev, Exp, Cha Local Restr '!D42</f>
        <v>3627051.7800000003</v>
      </c>
      <c r="F44" s="3">
        <f t="shared" si="5"/>
        <v>0.95017776676282395</v>
      </c>
      <c r="H44" s="5">
        <f>+'Rev, Exp, Cha Unrestricted'!H42+'Rev, Exp, Cha Federal Restrict'!H42+'Rev, Exp, Cha State Restr '!H42+'Rev, Exp, Cha Local Restr '!H42</f>
        <v>3059949.3</v>
      </c>
      <c r="J44" s="3">
        <f t="shared" si="6"/>
        <v>1.185330678518105</v>
      </c>
      <c r="K44" s="16" t="s">
        <v>155</v>
      </c>
    </row>
    <row r="45" spans="1:11" x14ac:dyDescent="0.25">
      <c r="A45" s="4" t="s">
        <v>61</v>
      </c>
      <c r="B45" s="6">
        <f>+'Rev, Exp, Cha Unrestricted'!B43+'Rev, Exp, Cha Federal Restrict'!B43+'Rev, Exp, Cha State Restr '!B43+'Rev, Exp, Cha Local Restr '!B43</f>
        <v>7512586.5499999998</v>
      </c>
      <c r="C45" s="6"/>
      <c r="D45" s="5">
        <f>+'Rev, Exp, Cha Unrestricted'!D43+'Rev, Exp, Cha Federal Restrict'!D43+'Rev, Exp, Cha State Restr '!D43+'Rev, Exp, Cha Local Restr '!D43</f>
        <v>7444366.29</v>
      </c>
      <c r="F45" s="3">
        <f t="shared" si="5"/>
        <v>0.99091920478440276</v>
      </c>
      <c r="H45" s="5">
        <f>+'Rev, Exp, Cha Unrestricted'!H43+'Rev, Exp, Cha Federal Restrict'!H43+'Rev, Exp, Cha State Restr '!H43+'Rev, Exp, Cha Local Restr '!H43</f>
        <v>10989408.290000001</v>
      </c>
      <c r="J45" s="3">
        <f t="shared" si="6"/>
        <v>0.67741284094195753</v>
      </c>
      <c r="K45" s="16" t="s">
        <v>160</v>
      </c>
    </row>
    <row r="46" spans="1:11" x14ac:dyDescent="0.25">
      <c r="A46" s="4" t="s">
        <v>62</v>
      </c>
      <c r="B46" s="6">
        <f>+'Rev, Exp, Cha Unrestricted'!B44+'Rev, Exp, Cha Federal Restrict'!B44+'Rev, Exp, Cha State Restr '!B44+'Rev, Exp, Cha Local Restr '!B44</f>
        <v>4523284</v>
      </c>
      <c r="C46" s="6"/>
      <c r="D46" s="5">
        <f>+'Rev, Exp, Cha Unrestricted'!D44+'Rev, Exp, Cha Federal Restrict'!D44+'Rev, Exp, Cha State Restr '!D44+'Rev, Exp, Cha Local Restr '!D44</f>
        <v>4627102.74</v>
      </c>
      <c r="F46" s="3">
        <f t="shared" si="5"/>
        <v>1.0229520719901735</v>
      </c>
      <c r="H46" s="5">
        <f>+'Rev, Exp, Cha Unrestricted'!H44+'Rev, Exp, Cha Federal Restrict'!H44+'Rev, Exp, Cha State Restr '!H44+'Rev, Exp, Cha Local Restr '!H44</f>
        <v>4233715.28</v>
      </c>
      <c r="J46" s="3">
        <f t="shared" si="6"/>
        <v>1.0929177882741326</v>
      </c>
      <c r="K46" s="16" t="s">
        <v>176</v>
      </c>
    </row>
    <row r="47" spans="1:11" x14ac:dyDescent="0.25">
      <c r="A47" s="4" t="s">
        <v>63</v>
      </c>
      <c r="B47" s="6">
        <f>+'Rev, Exp, Cha Unrestricted'!B45+'Rev, Exp, Cha Federal Restrict'!B45+'Rev, Exp, Cha State Restr '!B45+'Rev, Exp, Cha Local Restr '!B45</f>
        <v>6516599.5999999996</v>
      </c>
      <c r="C47" s="6"/>
      <c r="D47" s="5">
        <f>+'Rev, Exp, Cha Unrestricted'!D45+'Rev, Exp, Cha Federal Restrict'!D45+'Rev, Exp, Cha State Restr '!D45+'Rev, Exp, Cha Local Restr '!D45</f>
        <v>7204919.2299999995</v>
      </c>
      <c r="F47" s="3">
        <f t="shared" si="5"/>
        <v>1.1056255827042067</v>
      </c>
      <c r="H47" s="5">
        <f>+'Rev, Exp, Cha Unrestricted'!H45+'Rev, Exp, Cha Federal Restrict'!H45+'Rev, Exp, Cha State Restr '!H45+'Rev, Exp, Cha Local Restr '!H45</f>
        <v>7615792.9199999999</v>
      </c>
      <c r="J47" s="3">
        <f t="shared" si="6"/>
        <v>0.94604978177374077</v>
      </c>
      <c r="K47" s="16" t="s">
        <v>183</v>
      </c>
    </row>
    <row r="48" spans="1:11" x14ac:dyDescent="0.25">
      <c r="A48" s="4" t="s">
        <v>64</v>
      </c>
      <c r="B48" s="6">
        <f>+'Rev, Exp, Cha Auxiliary'!B30</f>
        <v>3094554</v>
      </c>
      <c r="C48" s="6"/>
      <c r="D48" s="5">
        <f>+'Rev, Exp, Cha Auxiliary'!D30</f>
        <v>3105729.47</v>
      </c>
      <c r="F48" s="3">
        <f t="shared" si="5"/>
        <v>1.003611334622049</v>
      </c>
      <c r="H48" s="5">
        <f>+'Rev, Exp, Cha Auxiliary'!H30</f>
        <v>2995784.47</v>
      </c>
      <c r="J48" s="3">
        <f t="shared" si="6"/>
        <v>1.0366999031809521</v>
      </c>
      <c r="K48" s="16" t="s">
        <v>189</v>
      </c>
    </row>
    <row r="49" spans="1:11" x14ac:dyDescent="0.25">
      <c r="A49" s="4" t="s">
        <v>76</v>
      </c>
      <c r="B49" s="6">
        <f>+'Rev, Exp, Cha Unrestricted'!B47+'Rev, Exp, Cha Federal Restrict'!B47+'Rev, Exp, Cha State Restr '!B47+'Rev, Exp, Cha Local Restr '!B47</f>
        <v>0</v>
      </c>
      <c r="C49" s="6"/>
      <c r="D49" s="5">
        <f>+'Rev, Exp, Cha Unrestricted'!D47+'Rev, Exp, Cha Federal Restrict'!D47+'Rev, Exp, Cha State Restr '!D47+'Rev, Exp, Cha Local Restr '!D47</f>
        <v>7212.89</v>
      </c>
      <c r="F49" s="3">
        <v>0</v>
      </c>
      <c r="H49" s="5">
        <f>+'Rev, Exp, Cha Unrestricted'!H47+'Rev, Exp, Cha Federal Restrict'!H47+'Rev, Exp, Cha State Restr '!H47+'Rev, Exp, Cha Local Restr '!H47</f>
        <v>0</v>
      </c>
      <c r="J49" s="3">
        <v>0</v>
      </c>
      <c r="K49" s="16" t="s">
        <v>191</v>
      </c>
    </row>
    <row r="50" spans="1:11" ht="16.5" x14ac:dyDescent="0.35">
      <c r="A50" s="4" t="s">
        <v>50</v>
      </c>
      <c r="B50" s="26">
        <f>+'Rev, Exp, Cha Debt Service'!B40</f>
        <v>2629588</v>
      </c>
      <c r="C50" s="6"/>
      <c r="D50" s="8">
        <f>+'Rev, Exp, Cha Debt Service'!D40</f>
        <v>2726860.7</v>
      </c>
      <c r="F50" s="3">
        <f t="shared" si="5"/>
        <v>1.036991612374258</v>
      </c>
      <c r="H50" s="8">
        <f>+'Rev, Exp, Cha Debt Service'!H40</f>
        <v>2476327.5</v>
      </c>
      <c r="J50" s="3">
        <v>0</v>
      </c>
      <c r="K50" s="16" t="s">
        <v>349</v>
      </c>
    </row>
    <row r="51" spans="1:11" ht="16.5" hidden="1" x14ac:dyDescent="0.35">
      <c r="A51" s="4" t="s">
        <v>216</v>
      </c>
      <c r="B51" s="26">
        <f>+'Rev, Exp, Cha Unrestricted'!B49</f>
        <v>0</v>
      </c>
      <c r="C51" s="6"/>
      <c r="D51" s="33">
        <f>+'Rev, Exp, Cha Unrestricted'!D49</f>
        <v>0</v>
      </c>
      <c r="F51" s="3">
        <v>0</v>
      </c>
      <c r="H51" s="33">
        <f>+'Rev, Exp, Cha Unrestricted'!H49</f>
        <v>0</v>
      </c>
      <c r="J51" s="3">
        <v>0</v>
      </c>
      <c r="K51" s="16" t="s">
        <v>202</v>
      </c>
    </row>
    <row r="52" spans="1:11" ht="16.5" x14ac:dyDescent="0.35">
      <c r="A52" s="56" t="s">
        <v>55</v>
      </c>
      <c r="B52" s="26">
        <f>SUM(B41:B51)</f>
        <v>46090684.850000001</v>
      </c>
      <c r="C52" s="6"/>
      <c r="D52" s="8">
        <f>SUM(D41:D51)</f>
        <v>45464943.670000002</v>
      </c>
      <c r="F52" s="3">
        <f t="shared" si="5"/>
        <v>0.98642369532940455</v>
      </c>
      <c r="H52" s="8">
        <f>SUM(H41:H51)</f>
        <v>47693178.380000003</v>
      </c>
      <c r="J52" s="3">
        <f t="shared" ref="J52" si="7">+(D52-H52)/H52+1</f>
        <v>0.95327980256953471</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214598</v>
      </c>
      <c r="C55" s="6"/>
      <c r="D55" s="5">
        <f>+'Rev, Exp, Cha Unrestricted'!D53+'Rev, Exp, Cha Federal Restrict'!D52+'Rev, Exp, Cha State Restr '!D52+'Rev, Exp, Cha Local Restr '!D52+'Rev, Exp, Cha Auxiliary'!D33+'Rev, Exp, Cha Debt Service'!D43</f>
        <v>214598</v>
      </c>
      <c r="F55" s="3">
        <f t="shared" ref="F55:F56" si="8">+(D55-B55)/B55+1</f>
        <v>1</v>
      </c>
      <c r="H55" s="5">
        <f>+'Rev, Exp, Cha Unrestricted'!H53+'Rev, Exp, Cha Federal Restrict'!H52+'Rev, Exp, Cha State Restr '!H52+'Rev, Exp, Cha Local Restr '!H52+'Rev, Exp, Cha Auxiliary'!H33+'Rev, Exp, Cha Debt Service'!H43</f>
        <v>430626.88</v>
      </c>
      <c r="J55" s="3">
        <f t="shared" ref="J55:J56" si="9">+(D55-H55)/H55+1</f>
        <v>0.49833860812404462</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-10656598</v>
      </c>
      <c r="F56" s="3">
        <f t="shared" si="8"/>
        <v>24.109950226244344</v>
      </c>
      <c r="H56" s="8">
        <f>+'Rev, Exp, Cha Unrestricted'!H54+'Rev, Exp, Cha Federal Restrict'!H53+'Rev, Exp, Cha State Restr '!H53+'Rev, Exp, Cha Local Restr '!H53+'Rev, Exp, Cha Debt Service'!H44</f>
        <v>-872626.88</v>
      </c>
      <c r="J56" s="3">
        <f t="shared" si="9"/>
        <v>12.212090005753661</v>
      </c>
    </row>
    <row r="57" spans="1:11" ht="16.5" x14ac:dyDescent="0.35">
      <c r="A57" s="56" t="s">
        <v>55</v>
      </c>
      <c r="B57" s="26">
        <f>SUM(B55:B56)</f>
        <v>-227402</v>
      </c>
      <c r="C57" s="6"/>
      <c r="D57" s="8">
        <f>SUM(D55:D56)</f>
        <v>-10442000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4">
        <f>+B38-B52+B57</f>
        <v>0</v>
      </c>
      <c r="C59" s="6"/>
      <c r="D59" s="9">
        <f>+D38-D52+D57</f>
        <v>604713.34000000358</v>
      </c>
      <c r="F59" s="3"/>
      <c r="H59" s="9">
        <f>+H38-H52+H57</f>
        <v>3574726.8399999961</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B75" sqref="B75"/>
    </sheetView>
  </sheetViews>
  <sheetFormatPr defaultRowHeight="15" x14ac:dyDescent="0.25"/>
  <cols>
    <col min="1" max="1" width="6.5703125" style="43" customWidth="1"/>
    <col min="2" max="2" width="33.28515625" style="2" customWidth="1"/>
    <col min="3" max="8" width="9.140625" style="2"/>
  </cols>
  <sheetData>
    <row r="1" spans="1:8" ht="15.75" x14ac:dyDescent="0.25">
      <c r="A1" s="128" t="s">
        <v>0</v>
      </c>
      <c r="B1" s="128"/>
      <c r="C1" s="128"/>
      <c r="D1" s="128"/>
      <c r="E1" s="128"/>
      <c r="F1" s="128"/>
      <c r="G1" s="128"/>
      <c r="H1" s="128"/>
    </row>
    <row r="2" spans="1:8" x14ac:dyDescent="0.25">
      <c r="A2" s="129" t="s">
        <v>395</v>
      </c>
      <c r="B2" s="129"/>
      <c r="C2" s="129"/>
      <c r="D2" s="129"/>
      <c r="E2" s="129"/>
      <c r="F2" s="129"/>
      <c r="G2" s="129"/>
      <c r="H2" s="129"/>
    </row>
    <row r="3" spans="1:8" x14ac:dyDescent="0.25">
      <c r="A3" s="130" t="str">
        <f>+'Statement of Net Position'!A3:E3</f>
        <v>August 31, 2023</v>
      </c>
      <c r="B3" s="130"/>
      <c r="C3" s="130"/>
      <c r="D3" s="130"/>
      <c r="E3" s="130"/>
      <c r="F3" s="130"/>
      <c r="G3" s="130"/>
      <c r="H3" s="130"/>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4" t="s">
        <v>205</v>
      </c>
      <c r="C9" s="134"/>
      <c r="D9" s="134"/>
      <c r="E9" s="134"/>
      <c r="F9" s="134"/>
      <c r="G9" s="134"/>
      <c r="H9" s="134"/>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4" t="s">
        <v>248</v>
      </c>
      <c r="C13" s="134"/>
      <c r="D13" s="134"/>
      <c r="E13" s="134"/>
      <c r="F13" s="134"/>
      <c r="G13" s="134"/>
      <c r="H13" s="134"/>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4" t="s">
        <v>249</v>
      </c>
      <c r="C18" s="134"/>
      <c r="D18" s="134"/>
      <c r="E18" s="134"/>
      <c r="F18" s="134"/>
      <c r="G18" s="134"/>
      <c r="H18" s="134"/>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4" t="s">
        <v>285</v>
      </c>
      <c r="C34" s="134"/>
      <c r="D34" s="134"/>
      <c r="E34" s="134"/>
      <c r="F34" s="134"/>
      <c r="G34" s="134"/>
      <c r="H34" s="134"/>
    </row>
    <row r="35" spans="1:8" s="65" customFormat="1" ht="15" customHeight="1" x14ac:dyDescent="0.25">
      <c r="B35" s="75" t="s">
        <v>121</v>
      </c>
    </row>
    <row r="36" spans="1:8" s="65" customFormat="1" ht="15" customHeight="1" x14ac:dyDescent="0.25">
      <c r="A36" s="64" t="s">
        <v>122</v>
      </c>
      <c r="B36" s="134" t="s">
        <v>250</v>
      </c>
      <c r="C36" s="134"/>
      <c r="D36" s="134"/>
      <c r="E36" s="134"/>
      <c r="F36" s="134"/>
      <c r="G36" s="134"/>
      <c r="H36" s="134"/>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3" t="s">
        <v>228</v>
      </c>
      <c r="C50" s="133"/>
      <c r="D50" s="133"/>
      <c r="E50" s="133"/>
      <c r="F50" s="133"/>
      <c r="G50" s="133"/>
      <c r="H50" s="133"/>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4" t="s">
        <v>64</v>
      </c>
      <c r="C66" s="134"/>
      <c r="D66" s="134"/>
      <c r="E66" s="134"/>
      <c r="F66" s="134"/>
      <c r="G66" s="134"/>
      <c r="H66" s="134"/>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4" t="s">
        <v>243</v>
      </c>
      <c r="C90" s="134"/>
      <c r="D90" s="134"/>
      <c r="E90" s="134"/>
      <c r="F90" s="134"/>
      <c r="G90" s="134"/>
      <c r="H90" s="134"/>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3" t="s">
        <v>286</v>
      </c>
      <c r="C103" s="133"/>
      <c r="D103" s="133"/>
      <c r="E103" s="133"/>
      <c r="F103" s="133"/>
      <c r="G103" s="133"/>
      <c r="H103" s="133"/>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3" t="s">
        <v>289</v>
      </c>
      <c r="C107" s="133"/>
      <c r="D107" s="133"/>
      <c r="E107" s="133"/>
      <c r="F107" s="133"/>
      <c r="G107" s="133"/>
      <c r="H107" s="133"/>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4" t="s">
        <v>245</v>
      </c>
      <c r="C185" s="134"/>
      <c r="D185" s="134"/>
      <c r="E185" s="134"/>
      <c r="F185" s="134"/>
      <c r="G185" s="134"/>
      <c r="H185" s="134"/>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topLeftCell="A11" zoomScaleNormal="100" workbookViewId="0">
      <selection activeCell="B75" sqref="B75"/>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August 31, 2023</v>
      </c>
      <c r="B3" s="127"/>
      <c r="C3" s="127"/>
      <c r="D3" s="127"/>
      <c r="E3" s="127"/>
      <c r="F3" s="127"/>
      <c r="G3" s="127"/>
      <c r="H3" s="127"/>
      <c r="I3" s="127"/>
      <c r="J3" s="127"/>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44804</v>
      </c>
      <c r="K7" s="11"/>
    </row>
    <row r="8" spans="1:11" s="1" customFormat="1" x14ac:dyDescent="0.25">
      <c r="A8" s="4"/>
      <c r="B8" s="22" t="s">
        <v>33</v>
      </c>
      <c r="C8" s="80"/>
      <c r="D8" s="28" t="s">
        <v>35</v>
      </c>
      <c r="E8" s="87"/>
      <c r="F8" s="22" t="s">
        <v>33</v>
      </c>
      <c r="G8" s="87"/>
      <c r="H8" s="24">
        <f>+'Revenues, Expenditures, Changes'!H9</f>
        <v>44804</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2">
        <v>5102088</v>
      </c>
      <c r="E10" s="4"/>
      <c r="F10" s="3">
        <f>+(D10-B10)/B10+1</f>
        <v>1</v>
      </c>
      <c r="G10" s="4"/>
      <c r="H10" s="32">
        <v>5102088</v>
      </c>
      <c r="I10" s="4"/>
      <c r="J10" s="3">
        <f t="shared" ref="J10" si="0">+(D10-H10)/H10+1</f>
        <v>1</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364341</v>
      </c>
      <c r="C12" s="6"/>
      <c r="D12" s="5">
        <v>364341.4</v>
      </c>
      <c r="E12" s="4"/>
      <c r="F12" s="3">
        <f>+(D12-B12)/B12+1</f>
        <v>1.0000010978725975</v>
      </c>
      <c r="G12" s="4"/>
      <c r="H12" s="5">
        <v>702737</v>
      </c>
      <c r="I12" s="4"/>
      <c r="J12" s="3">
        <f t="shared" ref="J12:J13" si="1">+(D12-H12)/H12+1</f>
        <v>0.51846053359934086</v>
      </c>
      <c r="K12" s="11"/>
    </row>
    <row r="13" spans="1:11" s="1" customFormat="1" x14ac:dyDescent="0.25">
      <c r="A13" s="10" t="s">
        <v>94</v>
      </c>
      <c r="B13" s="6">
        <v>442999</v>
      </c>
      <c r="C13" s="6"/>
      <c r="D13" s="5">
        <v>564032.47</v>
      </c>
      <c r="E13" s="4"/>
      <c r="F13" s="3">
        <f>+(D13-B13)/B13+1</f>
        <v>1.2732138672999262</v>
      </c>
      <c r="G13" s="4"/>
      <c r="H13" s="5">
        <v>87079.66</v>
      </c>
      <c r="I13" s="4"/>
      <c r="J13" s="3">
        <f t="shared" si="1"/>
        <v>6.4772011052868139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13735123.380000001</v>
      </c>
      <c r="E15" s="4"/>
      <c r="F15" s="3">
        <f>+(D15-B15)/B15+1</f>
        <v>1.0211814535783335</v>
      </c>
      <c r="G15" s="4"/>
      <c r="H15" s="5">
        <v>13436062.789999999</v>
      </c>
      <c r="I15" s="4"/>
      <c r="J15" s="3">
        <f t="shared" ref="J15" si="2">+(D15-H15)/H15+1</f>
        <v>1.0222580524275744</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4007435</v>
      </c>
      <c r="E18" s="4"/>
      <c r="F18" s="3">
        <f>+(D18-B18)/B18+1</f>
        <v>0.93516336629735575</v>
      </c>
      <c r="G18" s="4"/>
      <c r="H18" s="5">
        <v>3730047.24</v>
      </c>
      <c r="I18" s="4"/>
      <c r="J18" s="3">
        <f t="shared" ref="J18:J22" si="3">+(D18-H18)/H18+1</f>
        <v>1.0743657498557577</v>
      </c>
      <c r="K18" s="11"/>
    </row>
    <row r="19" spans="1:11" s="1" customFormat="1" x14ac:dyDescent="0.25">
      <c r="A19" s="10" t="s">
        <v>43</v>
      </c>
      <c r="B19" s="6">
        <v>1429660</v>
      </c>
      <c r="C19" s="6"/>
      <c r="D19" s="5">
        <v>1215082.26</v>
      </c>
      <c r="E19" s="4"/>
      <c r="F19" s="3">
        <f>+(D19-B19)/B19+1</f>
        <v>0.84990995061762931</v>
      </c>
      <c r="G19" s="4"/>
      <c r="H19" s="5">
        <v>1590064.92</v>
      </c>
      <c r="I19" s="4"/>
      <c r="J19" s="3">
        <f t="shared" si="3"/>
        <v>0.76417147797965379</v>
      </c>
      <c r="K19" s="11"/>
    </row>
    <row r="20" spans="1:11" s="1" customFormat="1" x14ac:dyDescent="0.25">
      <c r="A20" s="10" t="s">
        <v>75</v>
      </c>
      <c r="B20" s="6">
        <v>-220000</v>
      </c>
      <c r="C20" s="6"/>
      <c r="D20" s="5">
        <v>-214598</v>
      </c>
      <c r="E20" s="4"/>
      <c r="F20" s="3">
        <f>+(D20-B20)/B20+1</f>
        <v>0.9754454545454545</v>
      </c>
      <c r="G20" s="4"/>
      <c r="H20" s="5">
        <v>-225150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4236703.3600000003</v>
      </c>
      <c r="E22" s="4"/>
      <c r="F22" s="3">
        <f>+(D22-B22)/B22+1</f>
        <v>0.83337940025921753</v>
      </c>
      <c r="G22" s="4"/>
      <c r="H22" s="5">
        <v>4246579.26</v>
      </c>
      <c r="I22" s="4"/>
      <c r="J22" s="3">
        <f t="shared" si="3"/>
        <v>0.99767438698412536</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-304068.88</v>
      </c>
      <c r="E25" s="4"/>
      <c r="F25" s="3">
        <f>+(D25-B25)/B25+1</f>
        <v>1.0135629333333334</v>
      </c>
      <c r="G25" s="4"/>
      <c r="H25" s="5">
        <v>-354689</v>
      </c>
      <c r="I25" s="4"/>
      <c r="J25" s="3">
        <f t="shared" ref="J25:J30" si="4">+(D25-H25)/H25+1</f>
        <v>0.8572830846177919</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484840.29</v>
      </c>
      <c r="E27" s="4"/>
      <c r="F27" s="3">
        <f>+(D27-B27)/B27+1</f>
        <v>1.0937686312108736</v>
      </c>
      <c r="G27" s="4"/>
      <c r="H27" s="5">
        <v>464514.55</v>
      </c>
      <c r="I27" s="4"/>
      <c r="J27" s="3">
        <f t="shared" si="4"/>
        <v>1.0437569501321327</v>
      </c>
      <c r="K27" s="11"/>
    </row>
    <row r="28" spans="1:11" s="1" customFormat="1" x14ac:dyDescent="0.25">
      <c r="A28" s="4" t="s">
        <v>47</v>
      </c>
      <c r="B28" s="6">
        <v>100000</v>
      </c>
      <c r="C28" s="6"/>
      <c r="D28" s="5">
        <v>595138.14</v>
      </c>
      <c r="E28" s="4"/>
      <c r="F28" s="3">
        <f>+(D28-B28)/B28+1</f>
        <v>5.9513813999999998</v>
      </c>
      <c r="G28" s="4"/>
      <c r="H28" s="5">
        <v>95239.28</v>
      </c>
      <c r="I28" s="4"/>
      <c r="J28" s="3">
        <f t="shared" si="4"/>
        <v>6.2488727340231884</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165984.39000000001</v>
      </c>
      <c r="E30" s="4"/>
      <c r="F30" s="3">
        <f>+(D30-B30)/B30+1</f>
        <v>1.6707034725717163</v>
      </c>
      <c r="G30" s="4"/>
      <c r="H30" s="5">
        <v>1354320.71</v>
      </c>
      <c r="I30" s="4"/>
      <c r="J30" s="3">
        <f t="shared" si="4"/>
        <v>0.12255914627488795</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293119</v>
      </c>
      <c r="C35" s="6"/>
      <c r="D35" s="33">
        <v>900797.01</v>
      </c>
      <c r="E35" s="4"/>
      <c r="F35" s="3">
        <f>+(D35-B35)/B35+1</f>
        <v>3.0731443884565652</v>
      </c>
      <c r="G35" s="4"/>
      <c r="H35" s="33">
        <v>791119.35</v>
      </c>
      <c r="I35" s="4"/>
      <c r="J35" s="3">
        <f t="shared" ref="J35:J36" si="8">+(D35-H35)/H35+1</f>
        <v>1.1386360477720587</v>
      </c>
      <c r="K35" s="38"/>
    </row>
    <row r="36" spans="1:11" s="1" customFormat="1" ht="16.5" x14ac:dyDescent="0.35">
      <c r="A36" s="80" t="s">
        <v>55</v>
      </c>
      <c r="B36" s="26">
        <f>SUM(B10:B35)</f>
        <v>30574101</v>
      </c>
      <c r="C36" s="6"/>
      <c r="D36" s="8">
        <f>SUM(D10:D35)</f>
        <v>30852898.820000004</v>
      </c>
      <c r="E36" s="4"/>
      <c r="F36" s="3">
        <f>+(D36-B36)/B36+1</f>
        <v>1.0091187577355096</v>
      </c>
      <c r="G36" s="4"/>
      <c r="H36" s="8">
        <f>SUM(H10:H35)</f>
        <v>31020013.760000002</v>
      </c>
      <c r="I36" s="4"/>
      <c r="J36" s="3">
        <f t="shared" si="8"/>
        <v>0.99461267356962002</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11837698</v>
      </c>
      <c r="C39" s="6"/>
      <c r="D39" s="90">
        <v>10949666.609999999</v>
      </c>
      <c r="E39" s="4"/>
      <c r="F39" s="3">
        <f t="shared" ref="F39:F49" si="9">+(D39-B39)/B39+1</f>
        <v>0.92498276354068154</v>
      </c>
      <c r="G39" s="4"/>
      <c r="H39" s="90">
        <v>10956162.949999999</v>
      </c>
      <c r="I39" s="4"/>
      <c r="J39" s="3">
        <f t="shared" ref="J39:J50" si="10">+(D39-H39)/H39+1</f>
        <v>0.99940706066260176</v>
      </c>
      <c r="K39" s="11"/>
    </row>
    <row r="40" spans="1:11" s="1" customFormat="1" x14ac:dyDescent="0.25">
      <c r="A40" s="4" t="s">
        <v>58</v>
      </c>
      <c r="B40" s="6">
        <v>340335</v>
      </c>
      <c r="C40" s="6"/>
      <c r="D40" s="90">
        <v>265145.49</v>
      </c>
      <c r="E40" s="4"/>
      <c r="F40" s="3">
        <f t="shared" si="9"/>
        <v>0.77907206135131557</v>
      </c>
      <c r="G40" s="4"/>
      <c r="H40" s="90">
        <v>247375.2</v>
      </c>
      <c r="I40" s="4"/>
      <c r="J40" s="3">
        <f t="shared" si="10"/>
        <v>1.0718353739582624</v>
      </c>
      <c r="K40" s="11"/>
    </row>
    <row r="41" spans="1:11" s="1" customFormat="1" x14ac:dyDescent="0.25">
      <c r="A41" s="4" t="s">
        <v>59</v>
      </c>
      <c r="B41" s="6">
        <v>3564048</v>
      </c>
      <c r="C41" s="6"/>
      <c r="D41" s="90">
        <v>3252131.72</v>
      </c>
      <c r="E41" s="4"/>
      <c r="F41" s="3">
        <f t="shared" si="9"/>
        <v>0.91248258160383933</v>
      </c>
      <c r="G41" s="4"/>
      <c r="H41" s="90">
        <v>3030597.14</v>
      </c>
      <c r="I41" s="4"/>
      <c r="J41" s="3">
        <f t="shared" si="10"/>
        <v>1.0730993166581027</v>
      </c>
      <c r="K41" s="11"/>
    </row>
    <row r="42" spans="1:11" s="1" customFormat="1" x14ac:dyDescent="0.25">
      <c r="A42" s="4" t="s">
        <v>60</v>
      </c>
      <c r="B42" s="6">
        <v>2689788</v>
      </c>
      <c r="C42" s="6"/>
      <c r="D42" s="90">
        <v>2499604.83</v>
      </c>
      <c r="E42" s="4"/>
      <c r="F42" s="3">
        <f t="shared" si="9"/>
        <v>0.92929436446292424</v>
      </c>
      <c r="G42" s="4"/>
      <c r="H42" s="90">
        <v>2267529.19</v>
      </c>
      <c r="I42" s="4"/>
      <c r="J42" s="3">
        <f t="shared" si="10"/>
        <v>1.1023473660332461</v>
      </c>
      <c r="K42" s="11"/>
    </row>
    <row r="43" spans="1:11" s="1" customFormat="1" x14ac:dyDescent="0.25">
      <c r="A43" s="4" t="s">
        <v>61</v>
      </c>
      <c r="B43" s="6">
        <v>6536694</v>
      </c>
      <c r="C43" s="6"/>
      <c r="D43" s="90">
        <v>6468473.7400000002</v>
      </c>
      <c r="E43" s="4"/>
      <c r="F43" s="3">
        <f t="shared" si="9"/>
        <v>0.98956349188137005</v>
      </c>
      <c r="G43" s="4"/>
      <c r="H43" s="90">
        <v>5972956.2000000002</v>
      </c>
      <c r="I43" s="4"/>
      <c r="J43" s="3">
        <f t="shared" si="10"/>
        <v>1.0829601830999531</v>
      </c>
      <c r="K43" s="11"/>
    </row>
    <row r="44" spans="1:11" s="1" customFormat="1" x14ac:dyDescent="0.25">
      <c r="A44" s="4" t="s">
        <v>62</v>
      </c>
      <c r="B44" s="6">
        <v>4523284</v>
      </c>
      <c r="C44" s="6"/>
      <c r="D44" s="90">
        <v>4627102.74</v>
      </c>
      <c r="E44" s="4"/>
      <c r="F44" s="3">
        <f t="shared" si="9"/>
        <v>1.0229520719901735</v>
      </c>
      <c r="G44" s="4"/>
      <c r="H44" s="90">
        <v>4233715.28</v>
      </c>
      <c r="I44" s="4"/>
      <c r="J44" s="3">
        <f t="shared" si="10"/>
        <v>1.0929177882741326</v>
      </c>
      <c r="K44" s="11"/>
    </row>
    <row r="45" spans="1:11" s="1" customFormat="1" x14ac:dyDescent="0.25">
      <c r="A45" s="4" t="s">
        <v>63</v>
      </c>
      <c r="B45" s="6">
        <v>120500</v>
      </c>
      <c r="C45" s="6"/>
      <c r="D45" s="90">
        <v>808819.63</v>
      </c>
      <c r="E45" s="4"/>
      <c r="F45" s="3">
        <f t="shared" si="9"/>
        <v>6.7121960995850625</v>
      </c>
      <c r="G45" s="4"/>
      <c r="H45" s="90">
        <v>728435.9</v>
      </c>
      <c r="I45" s="4"/>
      <c r="J45" s="3">
        <f t="shared" si="10"/>
        <v>1.1103511372792032</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0</v>
      </c>
      <c r="C47" s="6"/>
      <c r="D47" s="8">
        <v>7212.89</v>
      </c>
      <c r="E47" s="4"/>
      <c r="F47" s="3">
        <v>0</v>
      </c>
      <c r="G47" s="4"/>
      <c r="H47" s="8">
        <v>0</v>
      </c>
      <c r="I47" s="4"/>
      <c r="J47" s="3">
        <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3">
        <v>0</v>
      </c>
      <c r="E49" s="4"/>
      <c r="F49" s="3" t="e">
        <f t="shared" si="9"/>
        <v>#DIV/0!</v>
      </c>
      <c r="G49" s="4"/>
      <c r="H49" s="33">
        <v>0</v>
      </c>
      <c r="I49" s="4"/>
      <c r="J49" s="3">
        <v>0</v>
      </c>
      <c r="K49" s="11"/>
    </row>
    <row r="50" spans="1:11" s="1" customFormat="1" ht="16.5" x14ac:dyDescent="0.35">
      <c r="A50" s="80" t="s">
        <v>55</v>
      </c>
      <c r="B50" s="26">
        <f>SUM(B39:B49)</f>
        <v>29612347</v>
      </c>
      <c r="C50" s="6"/>
      <c r="D50" s="8">
        <f>SUM(D39:D49)</f>
        <v>28878157.650000002</v>
      </c>
      <c r="E50" s="4"/>
      <c r="F50" s="3">
        <f>+(D50-B50)/B50+1</f>
        <v>0.97520664775406019</v>
      </c>
      <c r="G50" s="4"/>
      <c r="H50" s="8">
        <f>SUM(H39:H49)</f>
        <v>27436771.859999999</v>
      </c>
      <c r="I50" s="4"/>
      <c r="J50" s="3">
        <f t="shared" si="10"/>
        <v>1.0525348170460751</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3">
        <v>-656598</v>
      </c>
      <c r="E54" s="4"/>
      <c r="F54" s="3">
        <f>+(D54-B54)/B54+1</f>
        <v>1.4855158371040724</v>
      </c>
      <c r="G54" s="4"/>
      <c r="H54" s="33">
        <v>-872626.88</v>
      </c>
      <c r="I54" s="4"/>
      <c r="J54" s="3">
        <f t="shared" ref="J54:J55" si="13">+(D54-H54)/H54+1</f>
        <v>0.75243843050078862</v>
      </c>
      <c r="K54" s="11"/>
    </row>
    <row r="55" spans="1:11" s="1" customFormat="1" ht="16.5" x14ac:dyDescent="0.35">
      <c r="A55" s="80" t="s">
        <v>55</v>
      </c>
      <c r="B55" s="26">
        <f>SUM(B53:B54)</f>
        <v>-442000</v>
      </c>
      <c r="C55" s="6"/>
      <c r="D55" s="8">
        <f>SUM(D53:D54)</f>
        <v>-656598</v>
      </c>
      <c r="E55" s="4"/>
      <c r="F55" s="3">
        <f>+(D55-B55)/B55+1</f>
        <v>1.4855158371040724</v>
      </c>
      <c r="G55" s="26">
        <f>SUM(G53:G54)</f>
        <v>0</v>
      </c>
      <c r="H55" s="8">
        <f>SUM(H53:H54)</f>
        <v>-872626.88</v>
      </c>
      <c r="I55" s="4"/>
      <c r="J55" s="3">
        <f t="shared" si="13"/>
        <v>0.75243843050078862</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519754</v>
      </c>
      <c r="C57" s="6"/>
      <c r="D57" s="9">
        <f>+D36-D50+D55</f>
        <v>1318143.1700000018</v>
      </c>
      <c r="E57" s="4"/>
      <c r="F57" s="4"/>
      <c r="G57" s="4"/>
      <c r="H57" s="9">
        <f>+H36-H50+H55</f>
        <v>2710615.0200000023</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B75" sqref="B75"/>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August 31, 2023</v>
      </c>
      <c r="B3" s="127"/>
      <c r="C3" s="127"/>
      <c r="D3" s="127"/>
      <c r="E3" s="127"/>
      <c r="F3" s="127"/>
      <c r="G3" s="127"/>
      <c r="H3" s="127"/>
      <c r="I3" s="127"/>
      <c r="J3" s="127"/>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44804</v>
      </c>
      <c r="K7" s="11"/>
    </row>
    <row r="8" spans="1:11" s="1" customFormat="1" x14ac:dyDescent="0.25">
      <c r="A8" s="4"/>
      <c r="B8" s="22" t="s">
        <v>33</v>
      </c>
      <c r="C8" s="80"/>
      <c r="D8" s="28" t="s">
        <v>35</v>
      </c>
      <c r="E8" s="87"/>
      <c r="F8" s="22" t="s">
        <v>33</v>
      </c>
      <c r="G8" s="87"/>
      <c r="H8" s="24">
        <f>+'Revenues, Expenditures, Changes'!H9</f>
        <v>44804</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5928681.5599999996</v>
      </c>
      <c r="C31" s="6"/>
      <c r="D31" s="7">
        <v>5928681.5599999996</v>
      </c>
      <c r="E31" s="4"/>
      <c r="F31" s="3">
        <f t="shared" si="0"/>
        <v>1</v>
      </c>
      <c r="G31" s="4"/>
      <c r="H31" s="7">
        <v>6886224.5599999996</v>
      </c>
      <c r="I31" s="4"/>
      <c r="J31" s="3">
        <f t="shared" ref="J31:J33" si="1">+D31/H31</f>
        <v>0.86094804320467877</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f>+D33</f>
        <v>4101273.39</v>
      </c>
      <c r="C33" s="6"/>
      <c r="D33" s="97">
        <v>4101273.39</v>
      </c>
      <c r="E33" s="4"/>
      <c r="F33" s="3">
        <f>+(D33-B33)/B33+1</f>
        <v>1</v>
      </c>
      <c r="G33" s="4"/>
      <c r="H33" s="8">
        <v>6652583.2999999998</v>
      </c>
      <c r="I33" s="4"/>
      <c r="J33" s="3">
        <f t="shared" si="1"/>
        <v>0.61649335379235315</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10029954.949999999</v>
      </c>
      <c r="C36" s="6"/>
      <c r="D36" s="83">
        <f>SUM(D10:D35)</f>
        <v>10029954.949999999</v>
      </c>
      <c r="E36" s="4"/>
      <c r="F36" s="3">
        <f>+(D36-B36)/B36+1</f>
        <v>1</v>
      </c>
      <c r="G36" s="4"/>
      <c r="H36" s="8">
        <f>SUM(H10:H35)</f>
        <v>13538807.859999999</v>
      </c>
      <c r="I36" s="4"/>
      <c r="J36" s="3">
        <f t="shared" ref="J36" si="3">+D36/H36</f>
        <v>0.74082999431827368</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f>+D39</f>
        <v>1955313.27</v>
      </c>
      <c r="C39" s="6"/>
      <c r="D39" s="81">
        <v>1955313.27</v>
      </c>
      <c r="E39" s="4"/>
      <c r="F39" s="3">
        <f t="shared" ref="F39:F47" si="4">+(D39-B39)/B39+1</f>
        <v>1</v>
      </c>
      <c r="G39" s="4"/>
      <c r="H39" s="81">
        <v>1445203.86</v>
      </c>
      <c r="I39" s="4"/>
      <c r="J39" s="3">
        <f t="shared" ref="J39:J49" si="5">+D39/H39</f>
        <v>1.3529670962821811</v>
      </c>
      <c r="K39" s="11"/>
    </row>
    <row r="40" spans="1:11" s="1" customFormat="1" hidden="1" x14ac:dyDescent="0.25">
      <c r="A40" s="4" t="s">
        <v>58</v>
      </c>
      <c r="B40" s="6">
        <f t="shared" ref="B40:B45" si="6">+D40</f>
        <v>0</v>
      </c>
      <c r="C40" s="6"/>
      <c r="D40" s="81">
        <v>0</v>
      </c>
      <c r="E40" s="4"/>
      <c r="F40" s="4" t="e">
        <f t="shared" si="4"/>
        <v>#DIV/0!</v>
      </c>
      <c r="G40" s="4"/>
      <c r="H40" s="81">
        <v>0</v>
      </c>
      <c r="I40" s="4"/>
      <c r="J40" s="3" t="e">
        <f t="shared" si="5"/>
        <v>#DIV/0!</v>
      </c>
      <c r="K40" s="11"/>
    </row>
    <row r="41" spans="1:11" s="1" customFormat="1" x14ac:dyDescent="0.25">
      <c r="A41" s="4" t="s">
        <v>59</v>
      </c>
      <c r="B41" s="6">
        <f t="shared" si="6"/>
        <v>89622.5</v>
      </c>
      <c r="C41" s="6"/>
      <c r="D41" s="81">
        <v>89622.5</v>
      </c>
      <c r="E41" s="4"/>
      <c r="F41" s="3">
        <f t="shared" si="4"/>
        <v>1</v>
      </c>
      <c r="G41" s="4"/>
      <c r="H41" s="81">
        <v>400146.25</v>
      </c>
      <c r="I41" s="4"/>
      <c r="J41" s="3">
        <f t="shared" si="5"/>
        <v>0.22397435937485358</v>
      </c>
      <c r="K41" s="11"/>
    </row>
    <row r="42" spans="1:11" s="1" customFormat="1" x14ac:dyDescent="0.25">
      <c r="A42" s="4" t="s">
        <v>60</v>
      </c>
      <c r="B42" s="6">
        <f t="shared" si="6"/>
        <v>1127446.95</v>
      </c>
      <c r="C42" s="6"/>
      <c r="D42" s="81">
        <v>1127446.95</v>
      </c>
      <c r="E42" s="4"/>
      <c r="F42" s="3">
        <f t="shared" si="4"/>
        <v>1</v>
      </c>
      <c r="G42" s="4"/>
      <c r="H42" s="81">
        <v>792420.11</v>
      </c>
      <c r="I42" s="4"/>
      <c r="J42" s="3">
        <f t="shared" si="5"/>
        <v>1.42278942163646</v>
      </c>
      <c r="K42" s="11"/>
    </row>
    <row r="43" spans="1:11" s="1" customFormat="1" x14ac:dyDescent="0.25">
      <c r="A43" s="4" t="s">
        <v>61</v>
      </c>
      <c r="B43" s="6">
        <f t="shared" si="6"/>
        <v>967472.55</v>
      </c>
      <c r="C43" s="6"/>
      <c r="D43" s="81">
        <v>967472.55</v>
      </c>
      <c r="E43" s="4"/>
      <c r="F43" s="3">
        <f t="shared" si="4"/>
        <v>1</v>
      </c>
      <c r="G43" s="4"/>
      <c r="H43" s="81">
        <v>4014813.08</v>
      </c>
      <c r="I43" s="4"/>
      <c r="J43" s="3">
        <f t="shared" si="5"/>
        <v>0.24097573927401872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82">
        <f t="shared" si="6"/>
        <v>5890099.6799999997</v>
      </c>
      <c r="C45" s="6"/>
      <c r="D45" s="82">
        <v>5890099.6799999997</v>
      </c>
      <c r="E45" s="4"/>
      <c r="F45" s="3">
        <f t="shared" si="4"/>
        <v>1</v>
      </c>
      <c r="G45" s="4"/>
      <c r="H45" s="82">
        <v>6886224.5599999996</v>
      </c>
      <c r="I45" s="4"/>
      <c r="J45" s="3">
        <f t="shared" si="5"/>
        <v>0.85534528081088312</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10029954.949999999</v>
      </c>
      <c r="C49" s="6"/>
      <c r="D49" s="83">
        <f>SUM(D39:D48)</f>
        <v>10029954.949999999</v>
      </c>
      <c r="E49" s="4"/>
      <c r="F49" s="3">
        <f>+(D49-B49)/B49+1</f>
        <v>1</v>
      </c>
      <c r="G49" s="4"/>
      <c r="H49" s="83">
        <f>SUM(H39:H48)</f>
        <v>13538807.859999999</v>
      </c>
      <c r="I49" s="4"/>
      <c r="J49" s="3">
        <f t="shared" si="5"/>
        <v>0.74082999431827368</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topLeftCell="A7" zoomScaleNormal="100" workbookViewId="0">
      <selection activeCell="B75" sqref="B75"/>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August 31, 2023</v>
      </c>
      <c r="B3" s="127"/>
      <c r="C3" s="127"/>
      <c r="D3" s="127"/>
      <c r="E3" s="127"/>
      <c r="F3" s="127"/>
      <c r="G3" s="127"/>
      <c r="H3" s="127"/>
      <c r="I3" s="127"/>
      <c r="J3" s="127"/>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44804</v>
      </c>
      <c r="K7" s="11"/>
      <c r="L7" s="11"/>
    </row>
    <row r="8" spans="1:12" s="1" customFormat="1" x14ac:dyDescent="0.25">
      <c r="A8" s="4"/>
      <c r="B8" s="22" t="s">
        <v>33</v>
      </c>
      <c r="C8" s="80"/>
      <c r="D8" s="28" t="s">
        <v>35</v>
      </c>
      <c r="E8" s="87"/>
      <c r="F8" s="22" t="s">
        <v>33</v>
      </c>
      <c r="G8" s="87"/>
      <c r="H8" s="24">
        <f>+'Revenues, Expenditures, Changes'!H9</f>
        <v>44804</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0</v>
      </c>
      <c r="C28" s="6"/>
      <c r="D28" s="7">
        <v>4.96</v>
      </c>
      <c r="E28" s="4"/>
      <c r="F28" s="3">
        <v>0</v>
      </c>
      <c r="G28" s="4"/>
      <c r="H28" s="7">
        <v>0</v>
      </c>
      <c r="I28" s="4"/>
      <c r="J28" s="3">
        <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4">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79">
        <f>+D34+78070</f>
        <v>407212.69</v>
      </c>
      <c r="C34" s="81"/>
      <c r="D34" s="98">
        <v>329142.69</v>
      </c>
      <c r="E34" s="4"/>
      <c r="F34" s="3">
        <f t="shared" ref="F34:F36" si="1">+(D34-B34)/B34+1</f>
        <v>0.808282006142785</v>
      </c>
      <c r="G34" s="4"/>
      <c r="H34" s="98">
        <v>793199.53</v>
      </c>
      <c r="I34" s="4"/>
      <c r="J34" s="3">
        <f>+D34/H34</f>
        <v>0.41495572999141839</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407212.69</v>
      </c>
      <c r="C36" s="6"/>
      <c r="D36" s="8">
        <f>SUM(D10:D35)</f>
        <v>329147.65000000002</v>
      </c>
      <c r="E36" s="4"/>
      <c r="F36" s="3">
        <f t="shared" si="1"/>
        <v>0.80829418650975737</v>
      </c>
      <c r="G36" s="4"/>
      <c r="H36" s="8">
        <f>SUM(H10:H35)</f>
        <v>793199.53</v>
      </c>
      <c r="I36" s="4"/>
      <c r="J36" s="3">
        <f>+D36/H36</f>
        <v>0.4149619831469139</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107390.77</v>
      </c>
      <c r="C39" s="6"/>
      <c r="D39" s="5">
        <v>107390.77</v>
      </c>
      <c r="E39" s="4"/>
      <c r="F39" s="3">
        <f>+(D39-B39)/B39+1</f>
        <v>1</v>
      </c>
      <c r="G39" s="4"/>
      <c r="H39" s="5">
        <v>221054.94</v>
      </c>
      <c r="I39" s="4"/>
      <c r="J39" s="3">
        <f>+D39/H39</f>
        <v>0.48581031484752163</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8420</v>
      </c>
      <c r="C43" s="6"/>
      <c r="D43" s="5">
        <v>8420</v>
      </c>
      <c r="E43" s="4"/>
      <c r="F43" s="3">
        <v>0</v>
      </c>
      <c r="G43" s="4"/>
      <c r="H43" s="5">
        <v>1001639.01</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26">
        <f>+D45</f>
        <v>505999.92</v>
      </c>
      <c r="C45" s="6"/>
      <c r="D45" s="8">
        <v>505999.92</v>
      </c>
      <c r="E45" s="4"/>
      <c r="F45" s="3">
        <f t="shared" si="3"/>
        <v>1</v>
      </c>
      <c r="G45" s="4"/>
      <c r="H45" s="8">
        <v>1132.46</v>
      </c>
      <c r="I45" s="4"/>
      <c r="J45" s="3">
        <f>+D45/H45</f>
        <v>446.81482789679103</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3">
        <v>0</v>
      </c>
      <c r="E48" s="4"/>
      <c r="F48" s="3" t="e">
        <f>+(D48-B48)/B48+1</f>
        <v>#DIV/0!</v>
      </c>
      <c r="G48" s="4"/>
      <c r="H48" s="33">
        <v>0</v>
      </c>
      <c r="I48" s="4"/>
      <c r="J48" s="3" t="e">
        <f t="shared" si="4"/>
        <v>#DIV/0!</v>
      </c>
      <c r="K48" s="11"/>
      <c r="L48" s="11"/>
    </row>
    <row r="49" spans="1:12" s="1" customFormat="1" ht="16.5" x14ac:dyDescent="0.35">
      <c r="A49" s="56" t="s">
        <v>55</v>
      </c>
      <c r="B49" s="26">
        <f>SUM(B39:B48)</f>
        <v>621810.68999999994</v>
      </c>
      <c r="C49" s="6"/>
      <c r="D49" s="8">
        <f>SUM(D39:D48)</f>
        <v>621810.68999999994</v>
      </c>
      <c r="E49" s="4"/>
      <c r="F49" s="3">
        <f>+(D49-B49)/B49+1</f>
        <v>1</v>
      </c>
      <c r="G49" s="4"/>
      <c r="H49" s="8">
        <f>SUM(H39:H48)</f>
        <v>1223826.4099999999</v>
      </c>
      <c r="I49" s="4"/>
      <c r="J49" s="3">
        <f>+D49/H49</f>
        <v>0.50808732751567276</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214598</v>
      </c>
      <c r="C52" s="6"/>
      <c r="D52" s="8">
        <v>214598</v>
      </c>
      <c r="E52" s="4"/>
      <c r="F52" s="3">
        <f>+(D52-B52)/B52+1</f>
        <v>1</v>
      </c>
      <c r="G52" s="4"/>
      <c r="H52" s="8">
        <v>430626.88</v>
      </c>
      <c r="I52" s="4"/>
      <c r="J52" s="3">
        <f>+D52/H52</f>
        <v>0.49833860812404462</v>
      </c>
      <c r="K52" s="11"/>
      <c r="L52" s="11"/>
    </row>
    <row r="53" spans="1:12" s="1" customFormat="1" hidden="1" x14ac:dyDescent="0.25">
      <c r="A53" s="4" t="s">
        <v>67</v>
      </c>
      <c r="B53" s="27">
        <v>0</v>
      </c>
      <c r="C53" s="6"/>
      <c r="D53" s="33">
        <v>0</v>
      </c>
      <c r="E53" s="4"/>
      <c r="F53" s="3" t="e">
        <f t="shared" ref="F53" si="5">+(D53-B53)/B53+1</f>
        <v>#DIV/0!</v>
      </c>
      <c r="G53" s="4"/>
      <c r="H53" s="27">
        <v>0</v>
      </c>
      <c r="I53" s="4"/>
      <c r="J53" s="3" t="e">
        <f t="shared" ref="J53" si="6">+(H53-D53)/D53+1</f>
        <v>#DIV/0!</v>
      </c>
      <c r="K53" s="11"/>
      <c r="L53" s="11"/>
    </row>
    <row r="54" spans="1:12" s="1" customFormat="1" ht="16.5" x14ac:dyDescent="0.35">
      <c r="A54" s="56" t="s">
        <v>55</v>
      </c>
      <c r="B54" s="26">
        <f>SUM(B52:B53)</f>
        <v>214598</v>
      </c>
      <c r="C54" s="6"/>
      <c r="D54" s="8">
        <f>SUM(D52:D53)</f>
        <v>214598</v>
      </c>
      <c r="E54" s="4"/>
      <c r="F54" s="3"/>
      <c r="G54" s="26">
        <f>SUM(G52:G53)</f>
        <v>0</v>
      </c>
      <c r="H54" s="8">
        <f>SUM(H52:H53)</f>
        <v>430626.88</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-78065.039999999921</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B75" sqref="B75"/>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August 31, 2023</v>
      </c>
      <c r="B3" s="127"/>
      <c r="C3" s="127"/>
      <c r="D3" s="127"/>
      <c r="E3" s="127"/>
      <c r="F3" s="127"/>
      <c r="G3" s="127"/>
      <c r="H3" s="127"/>
      <c r="I3" s="127"/>
      <c r="J3" s="127"/>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44804</v>
      </c>
      <c r="K7" s="11"/>
      <c r="L7" s="11"/>
    </row>
    <row r="8" spans="1:12" s="1" customFormat="1" x14ac:dyDescent="0.25">
      <c r="A8" s="4"/>
      <c r="B8" s="22" t="s">
        <v>33</v>
      </c>
      <c r="C8" s="56"/>
      <c r="D8" s="28" t="s">
        <v>35</v>
      </c>
      <c r="E8" s="87"/>
      <c r="F8" s="22" t="s">
        <v>33</v>
      </c>
      <c r="G8" s="87"/>
      <c r="H8" s="24">
        <f>+'Revenues, Expenditures, Changes'!H9</f>
        <v>44804</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f>+D35</f>
        <v>102430.21</v>
      </c>
      <c r="C35" s="6"/>
      <c r="D35" s="85">
        <v>102430.21</v>
      </c>
      <c r="E35" s="4"/>
      <c r="F35" s="3">
        <f>+(D35-B35)/B35+1+0.0008</f>
        <v>1.0007999999999999</v>
      </c>
      <c r="G35" s="4"/>
      <c r="H35" s="85">
        <v>21660.28</v>
      </c>
      <c r="I35" s="4"/>
      <c r="J35" s="3">
        <v>0</v>
      </c>
      <c r="K35" s="11"/>
      <c r="L35" s="11"/>
    </row>
    <row r="36" spans="1:12" s="1" customFormat="1" ht="16.5" x14ac:dyDescent="0.35">
      <c r="A36" s="56" t="s">
        <v>55</v>
      </c>
      <c r="B36" s="26">
        <f>SUM(B10:B35)</f>
        <v>102430.21</v>
      </c>
      <c r="C36" s="6"/>
      <c r="D36" s="8">
        <f>SUM(D10:D35)</f>
        <v>102430.21</v>
      </c>
      <c r="E36" s="4"/>
      <c r="F36" s="3">
        <f>+(D36-B36)/B36+1+0.0008</f>
        <v>1.0007999999999999</v>
      </c>
      <c r="G36" s="4"/>
      <c r="H36" s="8">
        <f>SUM(H10:H35)</f>
        <v>21660.28</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82503.710000000006</v>
      </c>
      <c r="C39" s="6"/>
      <c r="D39" s="5">
        <v>82503.710000000006</v>
      </c>
      <c r="E39" s="4"/>
      <c r="F39" s="3">
        <v>0</v>
      </c>
      <c r="G39" s="4"/>
      <c r="H39" s="5">
        <v>7652.92</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19926.5</v>
      </c>
      <c r="C41" s="6"/>
      <c r="D41" s="8">
        <v>19926.5</v>
      </c>
      <c r="E41" s="4"/>
      <c r="F41" s="3">
        <f>+(D41-B41)/B41+1+0.0008</f>
        <v>1.0007999999999999</v>
      </c>
      <c r="G41" s="4"/>
      <c r="H41" s="8">
        <v>14007.36</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3">
        <v>0</v>
      </c>
      <c r="E48" s="4"/>
      <c r="F48" s="3">
        <v>0</v>
      </c>
      <c r="G48" s="4"/>
      <c r="H48" s="33">
        <v>0</v>
      </c>
      <c r="I48" s="4"/>
      <c r="J48" s="3">
        <v>0</v>
      </c>
      <c r="K48" s="11"/>
      <c r="L48" s="11"/>
    </row>
    <row r="49" spans="1:12" s="1" customFormat="1" ht="16.5" x14ac:dyDescent="0.35">
      <c r="A49" s="56" t="s">
        <v>55</v>
      </c>
      <c r="B49" s="26">
        <f>SUM(B39:B48)</f>
        <v>102430.21</v>
      </c>
      <c r="C49" s="6"/>
      <c r="D49" s="8">
        <f>SUM(D39:D48)</f>
        <v>102430.21</v>
      </c>
      <c r="E49" s="4"/>
      <c r="F49" s="3">
        <f>+(D49-B49)/B49+1+0.0008</f>
        <v>1.0007999999999999</v>
      </c>
      <c r="G49" s="4"/>
      <c r="H49" s="8">
        <f>SUM(H39:H48)</f>
        <v>21660.28</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3">
        <v>0</v>
      </c>
      <c r="E53" s="4"/>
      <c r="F53" s="4" t="e">
        <f t="shared" si="2"/>
        <v>#DIV/0!</v>
      </c>
      <c r="G53" s="4"/>
      <c r="H53" s="33">
        <v>0</v>
      </c>
      <c r="I53" s="4"/>
      <c r="J53" s="3" t="e">
        <f t="shared" si="3"/>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v>0</v>
      </c>
      <c r="C56" s="6"/>
      <c r="D56" s="9">
        <f>+D35-D39-D41</f>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B75" sqref="B75"/>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August 31, 2023</v>
      </c>
      <c r="B3" s="127"/>
      <c r="C3" s="127"/>
      <c r="D3" s="127"/>
      <c r="E3" s="127"/>
      <c r="F3" s="127"/>
      <c r="G3" s="127"/>
      <c r="H3" s="127"/>
      <c r="I3" s="127"/>
      <c r="J3" s="127"/>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44804</v>
      </c>
      <c r="K7" s="11"/>
    </row>
    <row r="8" spans="1:11" s="1" customFormat="1" x14ac:dyDescent="0.25">
      <c r="A8" s="4"/>
      <c r="B8" s="22" t="s">
        <v>33</v>
      </c>
      <c r="C8" s="56"/>
      <c r="D8" s="23" t="s">
        <v>35</v>
      </c>
      <c r="E8" s="87"/>
      <c r="F8" s="22" t="s">
        <v>33</v>
      </c>
      <c r="G8" s="87"/>
      <c r="H8" s="24">
        <f>+'Revenues, Expenditures, Changes'!H9</f>
        <v>44804</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2574800</v>
      </c>
      <c r="C10" s="6"/>
      <c r="D10" s="7">
        <v>2269872.48</v>
      </c>
      <c r="E10" s="4"/>
      <c r="F10" s="3">
        <f>+D10/B10</f>
        <v>0.8815723473667858</v>
      </c>
      <c r="G10" s="4"/>
      <c r="H10" s="5">
        <v>2294870.52</v>
      </c>
      <c r="I10" s="4"/>
      <c r="J10" s="3">
        <f>+D10/H10</f>
        <v>0.98910699327820895</v>
      </c>
      <c r="K10" s="11"/>
    </row>
    <row r="11" spans="1:11" s="1" customFormat="1" x14ac:dyDescent="0.25">
      <c r="A11" s="4" t="s">
        <v>74</v>
      </c>
      <c r="B11" s="52">
        <v>0</v>
      </c>
      <c r="C11" s="6"/>
      <c r="D11" s="5">
        <v>0</v>
      </c>
      <c r="E11" s="4"/>
      <c r="F11" s="3">
        <v>0</v>
      </c>
      <c r="G11" s="4"/>
      <c r="H11" s="5">
        <v>1333771.73</v>
      </c>
      <c r="I11" s="4"/>
      <c r="J11" s="3">
        <f>+D11/H11</f>
        <v>0</v>
      </c>
      <c r="K11" s="11"/>
    </row>
    <row r="12" spans="1:11" s="1" customFormat="1" ht="16.5" x14ac:dyDescent="0.35">
      <c r="A12" s="4" t="s">
        <v>78</v>
      </c>
      <c r="B12" s="55">
        <v>0</v>
      </c>
      <c r="C12" s="6"/>
      <c r="D12" s="33">
        <v>370.18</v>
      </c>
      <c r="E12" s="4"/>
      <c r="F12" s="3">
        <v>0</v>
      </c>
      <c r="G12" s="4"/>
      <c r="H12" s="8">
        <v>494.82</v>
      </c>
      <c r="I12" s="4"/>
      <c r="J12" s="3">
        <f>+D12/H12</f>
        <v>0.748110423992563</v>
      </c>
      <c r="K12" s="11"/>
    </row>
    <row r="13" spans="1:11" s="1" customFormat="1" ht="16.5" x14ac:dyDescent="0.35">
      <c r="A13" s="56" t="s">
        <v>55</v>
      </c>
      <c r="B13" s="26">
        <f>SUM(B10:B12)</f>
        <v>2574800</v>
      </c>
      <c r="C13" s="6"/>
      <c r="D13" s="8">
        <f>SUM(D10:D12)</f>
        <v>2270242.66</v>
      </c>
      <c r="E13" s="4"/>
      <c r="F13" s="3">
        <f>+D13/B13</f>
        <v>0.88171611775671899</v>
      </c>
      <c r="G13" s="4"/>
      <c r="H13" s="8">
        <f>SUM(H10:H12)</f>
        <v>3629137.07</v>
      </c>
      <c r="I13" s="4"/>
      <c r="J13" s="3">
        <f>+D13/H13</f>
        <v>0.62555991030672209</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541120</v>
      </c>
      <c r="C16" s="6"/>
      <c r="D16" s="5">
        <v>549891.09</v>
      </c>
      <c r="E16" s="4"/>
      <c r="F16" s="3">
        <f t="shared" ref="F16:F30" si="0">+D16/B16</f>
        <v>1.0162091403015967</v>
      </c>
      <c r="G16" s="4"/>
      <c r="H16" s="95">
        <v>523993.51</v>
      </c>
      <c r="I16" s="4"/>
      <c r="J16" s="3">
        <f t="shared" ref="J16:J30" si="1">+D16/H16</f>
        <v>1.0494234747296773</v>
      </c>
      <c r="K16" s="11"/>
    </row>
    <row r="17" spans="1:11" s="1" customFormat="1" x14ac:dyDescent="0.25">
      <c r="A17" s="4" t="s">
        <v>80</v>
      </c>
      <c r="B17" s="52">
        <v>159127</v>
      </c>
      <c r="C17" s="6"/>
      <c r="D17" s="5">
        <v>222509.27</v>
      </c>
      <c r="E17" s="4"/>
      <c r="F17" s="3">
        <f t="shared" si="0"/>
        <v>1.3983124799688298</v>
      </c>
      <c r="G17" s="4"/>
      <c r="H17" s="95">
        <v>164295.25</v>
      </c>
      <c r="I17" s="4"/>
      <c r="J17" s="3">
        <f t="shared" si="1"/>
        <v>1.35432564240293</v>
      </c>
      <c r="K17" s="11"/>
    </row>
    <row r="18" spans="1:11" s="1" customFormat="1" x14ac:dyDescent="0.25">
      <c r="A18" s="4" t="s">
        <v>81</v>
      </c>
      <c r="B18" s="52">
        <v>188231</v>
      </c>
      <c r="C18" s="6"/>
      <c r="D18" s="5">
        <v>193675.35</v>
      </c>
      <c r="E18" s="4"/>
      <c r="F18" s="3">
        <f t="shared" si="0"/>
        <v>1.0289237691984849</v>
      </c>
      <c r="G18" s="4"/>
      <c r="H18" s="95">
        <v>200348.6</v>
      </c>
      <c r="I18" s="4"/>
      <c r="J18" s="3">
        <f t="shared" si="1"/>
        <v>0.96669180618182504</v>
      </c>
      <c r="K18" s="11"/>
    </row>
    <row r="19" spans="1:11" s="1" customFormat="1" x14ac:dyDescent="0.25">
      <c r="A19" s="4" t="s">
        <v>82</v>
      </c>
      <c r="B19" s="52">
        <v>100548</v>
      </c>
      <c r="C19" s="6"/>
      <c r="D19" s="5">
        <v>280227.98</v>
      </c>
      <c r="E19" s="4"/>
      <c r="F19" s="3">
        <f t="shared" si="0"/>
        <v>2.7870070016310615</v>
      </c>
      <c r="G19" s="4"/>
      <c r="H19" s="95">
        <v>277980.75</v>
      </c>
      <c r="I19" s="4"/>
      <c r="J19" s="3">
        <f t="shared" si="1"/>
        <v>1.0080841209328344</v>
      </c>
      <c r="K19" s="11"/>
    </row>
    <row r="20" spans="1:11" s="1" customFormat="1" x14ac:dyDescent="0.25">
      <c r="A20" s="4" t="s">
        <v>83</v>
      </c>
      <c r="B20" s="52">
        <v>29950</v>
      </c>
      <c r="C20" s="6"/>
      <c r="D20" s="5">
        <v>26096.34</v>
      </c>
      <c r="E20" s="4"/>
      <c r="F20" s="3">
        <f t="shared" si="0"/>
        <v>0.87133021702838065</v>
      </c>
      <c r="G20" s="4"/>
      <c r="H20" s="95">
        <v>11575.42</v>
      </c>
      <c r="I20" s="4"/>
      <c r="J20" s="3">
        <f t="shared" si="1"/>
        <v>2.2544616091683931</v>
      </c>
      <c r="K20" s="11"/>
    </row>
    <row r="21" spans="1:11" s="1" customFormat="1" x14ac:dyDescent="0.25">
      <c r="A21" s="4" t="s">
        <v>88</v>
      </c>
      <c r="B21" s="52">
        <v>8165</v>
      </c>
      <c r="C21" s="6"/>
      <c r="D21" s="5">
        <v>229.6</v>
      </c>
      <c r="E21" s="4"/>
      <c r="F21" s="3">
        <f t="shared" si="0"/>
        <v>2.8120024494794855E-2</v>
      </c>
      <c r="G21" s="4"/>
      <c r="H21" s="95">
        <v>8823.85</v>
      </c>
      <c r="I21" s="4"/>
      <c r="J21" s="3">
        <f t="shared" si="1"/>
        <v>2.6020387925905358E-2</v>
      </c>
      <c r="K21" s="11"/>
    </row>
    <row r="22" spans="1:11" s="1" customFormat="1" x14ac:dyDescent="0.25">
      <c r="A22" s="4" t="s">
        <v>84</v>
      </c>
      <c r="B22" s="52">
        <v>17475</v>
      </c>
      <c r="C22" s="6"/>
      <c r="D22" s="5">
        <v>15197.61</v>
      </c>
      <c r="E22" s="4"/>
      <c r="F22" s="3">
        <f t="shared" si="0"/>
        <v>0.86967725321888412</v>
      </c>
      <c r="G22" s="4"/>
      <c r="H22" s="95">
        <v>11613.83</v>
      </c>
      <c r="I22" s="4"/>
      <c r="J22" s="3">
        <f t="shared" si="1"/>
        <v>1.3085786514870634</v>
      </c>
      <c r="K22" s="11"/>
    </row>
    <row r="23" spans="1:11" s="1" customFormat="1" x14ac:dyDescent="0.25">
      <c r="A23" s="4" t="s">
        <v>85</v>
      </c>
      <c r="B23" s="52">
        <v>4000</v>
      </c>
      <c r="C23" s="6"/>
      <c r="D23" s="5">
        <v>1830.28</v>
      </c>
      <c r="E23" s="4"/>
      <c r="F23" s="3">
        <f t="shared" si="0"/>
        <v>0.45756999999999998</v>
      </c>
      <c r="G23" s="4"/>
      <c r="H23" s="95">
        <v>664.1</v>
      </c>
      <c r="I23" s="4"/>
      <c r="J23" s="3">
        <v>0</v>
      </c>
      <c r="K23" s="11"/>
    </row>
    <row r="24" spans="1:11" s="1" customFormat="1" x14ac:dyDescent="0.25">
      <c r="A24" s="4" t="s">
        <v>86</v>
      </c>
      <c r="B24" s="52">
        <v>2500</v>
      </c>
      <c r="C24" s="6"/>
      <c r="D24" s="20">
        <v>5890.93</v>
      </c>
      <c r="E24" s="4"/>
      <c r="F24" s="3">
        <f t="shared" si="0"/>
        <v>2.3563719999999999</v>
      </c>
      <c r="G24" s="4"/>
      <c r="H24" s="95">
        <v>151.72</v>
      </c>
      <c r="I24" s="4"/>
      <c r="J24" s="3">
        <v>0</v>
      </c>
      <c r="K24" s="11"/>
    </row>
    <row r="25" spans="1:11" s="1" customFormat="1" x14ac:dyDescent="0.25">
      <c r="A25" s="4" t="s">
        <v>87</v>
      </c>
      <c r="B25" s="52">
        <v>295673</v>
      </c>
      <c r="C25" s="6"/>
      <c r="D25" s="5">
        <v>271168.46999999997</v>
      </c>
      <c r="E25" s="4"/>
      <c r="F25" s="3">
        <f t="shared" si="0"/>
        <v>0.91712286884497396</v>
      </c>
      <c r="G25" s="4"/>
      <c r="H25" s="95">
        <v>282492.07</v>
      </c>
      <c r="I25" s="4"/>
      <c r="J25" s="3">
        <f t="shared" si="1"/>
        <v>0.95991533496851777</v>
      </c>
      <c r="K25" s="11"/>
    </row>
    <row r="26" spans="1:11" s="1" customFormat="1" x14ac:dyDescent="0.25">
      <c r="A26" s="4" t="s">
        <v>63</v>
      </c>
      <c r="B26" s="52">
        <v>45000</v>
      </c>
      <c r="C26" s="6"/>
      <c r="D26" s="5">
        <v>38897.03</v>
      </c>
      <c r="E26" s="4"/>
      <c r="F26" s="3">
        <f t="shared" si="0"/>
        <v>0.86437844444444445</v>
      </c>
      <c r="G26" s="4"/>
      <c r="H26" s="95">
        <v>34053.800000000003</v>
      </c>
      <c r="I26" s="4"/>
      <c r="J26" s="3">
        <f t="shared" si="1"/>
        <v>1.1422228943612753</v>
      </c>
      <c r="K26" s="11"/>
    </row>
    <row r="27" spans="1:11" s="1" customFormat="1" x14ac:dyDescent="0.25">
      <c r="A27" s="4" t="s">
        <v>64</v>
      </c>
      <c r="B27" s="52">
        <v>1696162</v>
      </c>
      <c r="C27" s="6"/>
      <c r="D27" s="5">
        <v>1489789.29</v>
      </c>
      <c r="E27" s="4"/>
      <c r="F27" s="3">
        <f t="shared" si="0"/>
        <v>0.87832959941326361</v>
      </c>
      <c r="G27" s="4"/>
      <c r="H27" s="95">
        <v>1461342.89</v>
      </c>
      <c r="I27" s="4"/>
      <c r="J27" s="3">
        <f t="shared" si="1"/>
        <v>1.0194659310930101</v>
      </c>
      <c r="K27" s="11"/>
    </row>
    <row r="28" spans="1:11" s="1" customFormat="1" ht="16.5" x14ac:dyDescent="0.35">
      <c r="A28" s="4" t="s">
        <v>89</v>
      </c>
      <c r="B28" s="53">
        <v>6603</v>
      </c>
      <c r="C28" s="6"/>
      <c r="D28" s="8">
        <v>10326.23</v>
      </c>
      <c r="E28" s="4"/>
      <c r="F28" s="3">
        <f t="shared" si="0"/>
        <v>1.5638694532788127</v>
      </c>
      <c r="G28" s="4"/>
      <c r="H28" s="96">
        <v>18448.68</v>
      </c>
      <c r="I28" s="4"/>
      <c r="J28" s="3">
        <f t="shared" si="1"/>
        <v>0.55972730840363638</v>
      </c>
      <c r="K28" s="11"/>
    </row>
    <row r="29" spans="1:11" s="1" customFormat="1" ht="2.25" customHeight="1" x14ac:dyDescent="0.25">
      <c r="A29" s="4" t="s">
        <v>284</v>
      </c>
      <c r="B29" s="27">
        <v>0</v>
      </c>
      <c r="C29" s="6"/>
      <c r="D29" s="33">
        <v>0</v>
      </c>
      <c r="E29" s="4"/>
      <c r="F29" s="3" t="e">
        <f t="shared" si="0"/>
        <v>#DIV/0!</v>
      </c>
      <c r="G29" s="4"/>
      <c r="H29" s="33">
        <v>0</v>
      </c>
      <c r="I29" s="4"/>
      <c r="J29" s="3" t="e">
        <f t="shared" si="1"/>
        <v>#DIV/0!</v>
      </c>
      <c r="K29" s="11"/>
    </row>
    <row r="30" spans="1:11" s="1" customFormat="1" ht="16.5" x14ac:dyDescent="0.35">
      <c r="A30" s="56" t="s">
        <v>55</v>
      </c>
      <c r="B30" s="26">
        <f>SUM(B16:B29)</f>
        <v>3094554</v>
      </c>
      <c r="C30" s="6"/>
      <c r="D30" s="8">
        <f>SUM(D16:D29)</f>
        <v>3105729.47</v>
      </c>
      <c r="E30" s="4"/>
      <c r="F30" s="3">
        <f t="shared" si="0"/>
        <v>1.003611334622049</v>
      </c>
      <c r="G30" s="4"/>
      <c r="H30" s="8">
        <f>SUM(H16:H29)</f>
        <v>2995784.47</v>
      </c>
      <c r="I30" s="4"/>
      <c r="J30" s="3">
        <f t="shared" si="1"/>
        <v>1.0366999031809521</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2">+D34/B34</f>
        <v>#DIV/0!</v>
      </c>
      <c r="G34" s="4"/>
      <c r="H34" s="33">
        <v>0</v>
      </c>
      <c r="I34" s="4"/>
      <c r="J34" s="3" t="e">
        <f t="shared" ref="J34" si="3">+D34/H34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-519754</v>
      </c>
      <c r="C37" s="6"/>
      <c r="D37" s="9">
        <f>+D13-D30+D35</f>
        <v>-835486.81</v>
      </c>
      <c r="E37" s="4"/>
      <c r="F37" s="4"/>
      <c r="G37" s="4"/>
      <c r="H37" s="9">
        <f>+H13-H30+H35</f>
        <v>633352.59999999963</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opLeftCell="A4" zoomScaleNormal="100" workbookViewId="0">
      <selection activeCell="B75" sqref="B75"/>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August 31, 2023</v>
      </c>
      <c r="B3" s="127"/>
      <c r="C3" s="127"/>
      <c r="D3" s="127"/>
      <c r="E3" s="127"/>
      <c r="F3" s="127"/>
      <c r="G3" s="127"/>
      <c r="H3" s="127"/>
      <c r="I3" s="127"/>
      <c r="J3" s="127"/>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44804</v>
      </c>
      <c r="K7" s="11"/>
      <c r="L7" s="11"/>
    </row>
    <row r="8" spans="1:12" s="1" customFormat="1" x14ac:dyDescent="0.25">
      <c r="A8" s="4"/>
      <c r="B8" s="22" t="s">
        <v>33</v>
      </c>
      <c r="C8" s="56"/>
      <c r="D8" s="28" t="s">
        <v>35</v>
      </c>
      <c r="E8" s="87"/>
      <c r="F8" s="22" t="s">
        <v>33</v>
      </c>
      <c r="G8" s="87"/>
      <c r="H8" s="37">
        <f>+'Revenues, Expenditures, Changes'!H9</f>
        <v>44804</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2629588</v>
      </c>
      <c r="C13" s="6"/>
      <c r="D13" s="7">
        <v>2679245.21</v>
      </c>
      <c r="E13" s="4"/>
      <c r="F13" s="3">
        <f>+D13/B13</f>
        <v>1.0188840266992396</v>
      </c>
      <c r="G13" s="4"/>
      <c r="H13" s="7">
        <v>2707086.72</v>
      </c>
      <c r="I13" s="4"/>
      <c r="J13" s="3">
        <f>+D13/H13</f>
        <v>0.98971532393317629</v>
      </c>
      <c r="K13" s="11"/>
      <c r="L13" s="11"/>
    </row>
    <row r="14" spans="1:12" s="1" customFormat="1" hidden="1" x14ac:dyDescent="0.25">
      <c r="A14" s="4" t="s">
        <v>41</v>
      </c>
      <c r="B14" s="6"/>
      <c r="C14" s="6"/>
      <c r="D14" s="5"/>
      <c r="E14" s="4"/>
      <c r="F14" s="3"/>
      <c r="G14" s="4"/>
      <c r="H14" s="5"/>
      <c r="I14" s="4"/>
      <c r="J14" s="3" t="e">
        <f t="shared" ref="J14:J24"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x14ac:dyDescent="0.25">
      <c r="A25" s="4" t="s">
        <v>200</v>
      </c>
      <c r="B25" s="6">
        <v>0</v>
      </c>
      <c r="C25" s="6"/>
      <c r="D25" s="5">
        <v>10247729.6</v>
      </c>
      <c r="E25" s="4"/>
      <c r="F25" s="3">
        <v>0</v>
      </c>
      <c r="G25" s="4"/>
      <c r="H25" s="5">
        <v>0</v>
      </c>
      <c r="I25" s="4"/>
      <c r="J25" s="3">
        <v>0</v>
      </c>
      <c r="K25" s="11"/>
      <c r="L25" s="11"/>
    </row>
    <row r="26" spans="1:12" s="1" customFormat="1" ht="16.5" x14ac:dyDescent="0.35">
      <c r="A26" s="4" t="s">
        <v>47</v>
      </c>
      <c r="B26" s="26">
        <v>0</v>
      </c>
      <c r="C26" s="26"/>
      <c r="D26" s="8">
        <v>7.91</v>
      </c>
      <c r="E26" s="35"/>
      <c r="F26" s="3">
        <v>0</v>
      </c>
      <c r="G26" s="35"/>
      <c r="H26" s="8">
        <v>0</v>
      </c>
      <c r="I26" s="4"/>
      <c r="J26" s="3">
        <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3">
        <v>0</v>
      </c>
      <c r="E33" s="4"/>
      <c r="F33" s="3" t="e">
        <f>+(D33-B33)/B33+1</f>
        <v>#DIV/0!</v>
      </c>
      <c r="G33" s="4"/>
      <c r="H33" s="33">
        <v>0</v>
      </c>
      <c r="I33" s="4"/>
      <c r="J33" s="3" t="e">
        <f t="shared" si="2"/>
        <v>#DIV/0!</v>
      </c>
      <c r="K33" s="11"/>
      <c r="L33" s="11"/>
    </row>
    <row r="34" spans="1:12" s="1" customFormat="1" ht="16.5" x14ac:dyDescent="0.35">
      <c r="A34" s="56" t="s">
        <v>55</v>
      </c>
      <c r="B34" s="26">
        <f>SUM(B10:B33)</f>
        <v>2629588</v>
      </c>
      <c r="C34" s="6"/>
      <c r="D34" s="8">
        <f>SUM(D10:D33)</f>
        <v>12926982.719999999</v>
      </c>
      <c r="E34" s="4"/>
      <c r="F34" s="3">
        <f>+D34/B34</f>
        <v>4.9159726618770696</v>
      </c>
      <c r="G34" s="4"/>
      <c r="H34" s="8">
        <f>SUM(H10:H33)</f>
        <v>2707086.72</v>
      </c>
      <c r="I34" s="4"/>
      <c r="J34" s="3">
        <f t="shared" si="2"/>
        <v>4.7752377581756962</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f>1010000+1050000</f>
        <v>2060000</v>
      </c>
      <c r="E37" s="4"/>
      <c r="F37" s="3">
        <f>+D37/B37</f>
        <v>1</v>
      </c>
      <c r="G37" s="4"/>
      <c r="H37" s="5">
        <f>1010000+970000</f>
        <v>1980000</v>
      </c>
      <c r="I37" s="4"/>
      <c r="J37" s="3">
        <v>0</v>
      </c>
      <c r="K37" s="11"/>
      <c r="L37" s="11"/>
    </row>
    <row r="38" spans="1:12" s="1" customFormat="1" x14ac:dyDescent="0.25">
      <c r="A38" s="4" t="s">
        <v>78</v>
      </c>
      <c r="B38" s="6">
        <v>569588</v>
      </c>
      <c r="C38" s="6"/>
      <c r="D38" s="5">
        <f>52528+369449.5</f>
        <v>421977.5</v>
      </c>
      <c r="E38" s="4"/>
      <c r="F38" s="3">
        <f>+D38/B38</f>
        <v>0.74084689284184357</v>
      </c>
      <c r="G38" s="4"/>
      <c r="H38" s="5">
        <f>409849.5+86478</f>
        <v>496327.5</v>
      </c>
      <c r="I38" s="4"/>
      <c r="J38" s="3">
        <v>0</v>
      </c>
      <c r="K38" s="11"/>
      <c r="L38" s="11"/>
    </row>
    <row r="39" spans="1:12" s="49" customFormat="1" ht="17.25" x14ac:dyDescent="0.4">
      <c r="A39" s="4" t="s">
        <v>201</v>
      </c>
      <c r="B39" s="26">
        <v>0</v>
      </c>
      <c r="C39" s="26"/>
      <c r="D39" s="8">
        <v>244883.20000000001</v>
      </c>
      <c r="E39" s="35"/>
      <c r="F39" s="47">
        <v>0</v>
      </c>
      <c r="G39" s="35"/>
      <c r="H39" s="8">
        <v>0</v>
      </c>
      <c r="I39" s="35"/>
      <c r="J39" s="3">
        <v>0</v>
      </c>
      <c r="K39" s="48"/>
      <c r="L39" s="48"/>
    </row>
    <row r="40" spans="1:12" s="1" customFormat="1" ht="16.5" x14ac:dyDescent="0.35">
      <c r="A40" s="56" t="s">
        <v>55</v>
      </c>
      <c r="B40" s="26">
        <f>SUM(B37:B38)</f>
        <v>2629588</v>
      </c>
      <c r="C40" s="6"/>
      <c r="D40" s="8">
        <f>SUM(D37:D39)</f>
        <v>2726860.7</v>
      </c>
      <c r="E40" s="4"/>
      <c r="F40" s="3">
        <f>+D40/B40</f>
        <v>1.036991612374258</v>
      </c>
      <c r="G40" s="4"/>
      <c r="H40" s="8">
        <f>SUM(H37:H39)</f>
        <v>2476327.5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x14ac:dyDescent="0.25">
      <c r="A44" s="4" t="s">
        <v>67</v>
      </c>
      <c r="B44" s="27">
        <v>0</v>
      </c>
      <c r="C44" s="6"/>
      <c r="D44" s="33">
        <v>-10000000</v>
      </c>
      <c r="E44" s="4"/>
      <c r="F44" s="3">
        <v>0</v>
      </c>
      <c r="G44" s="4"/>
      <c r="H44" s="33">
        <v>0</v>
      </c>
      <c r="I44" s="4"/>
      <c r="J44" s="3">
        <v>0</v>
      </c>
      <c r="K44" s="11"/>
      <c r="L44" s="11"/>
    </row>
    <row r="45" spans="1:12" s="1" customFormat="1" ht="16.5" x14ac:dyDescent="0.35">
      <c r="A45" s="56" t="s">
        <v>55</v>
      </c>
      <c r="B45" s="26">
        <f>SUM(B43:B44)</f>
        <v>0</v>
      </c>
      <c r="C45" s="6"/>
      <c r="D45" s="8">
        <f>SUM(D43:D44)</f>
        <v>-10000000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200122.01999999955</v>
      </c>
      <c r="E47" s="4"/>
      <c r="F47" s="3"/>
      <c r="G47" s="4"/>
      <c r="H47" s="89">
        <f>+H34-H40+H45</f>
        <v>230759.2200000002</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7" zoomScaleNormal="100" workbookViewId="0">
      <selection activeCell="B75" sqref="B75"/>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August 31, 2023</v>
      </c>
      <c r="B3" s="136"/>
      <c r="C3" s="136"/>
      <c r="D3" s="136"/>
      <c r="E3" s="136"/>
      <c r="F3" s="136"/>
      <c r="G3" s="136"/>
      <c r="H3" s="136"/>
      <c r="I3" s="136"/>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5102088</v>
      </c>
      <c r="C10" s="105"/>
      <c r="D10" s="105">
        <v>0</v>
      </c>
      <c r="E10" s="105"/>
      <c r="F10" s="105">
        <v>0</v>
      </c>
      <c r="G10" s="102"/>
      <c r="H10" s="105">
        <f>+B10+F10</f>
        <v>5102088</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-1001595</v>
      </c>
      <c r="E12" s="103"/>
      <c r="F12" s="103">
        <v>364341</v>
      </c>
      <c r="G12" s="102"/>
      <c r="H12" s="103">
        <f>+B12+F12</f>
        <v>364341</v>
      </c>
      <c r="I12" s="102"/>
      <c r="J12" s="102"/>
    </row>
    <row r="13" spans="1:10" s="106" customFormat="1" x14ac:dyDescent="0.25">
      <c r="A13" s="114" t="s">
        <v>94</v>
      </c>
      <c r="B13" s="103">
        <v>0</v>
      </c>
      <c r="C13" s="103"/>
      <c r="D13" s="103">
        <v>-5914</v>
      </c>
      <c r="E13" s="103"/>
      <c r="F13" s="103">
        <v>442999</v>
      </c>
      <c r="G13" s="102"/>
      <c r="H13" s="103">
        <f>+B13+F13</f>
        <v>442999</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13450228</v>
      </c>
      <c r="C15" s="103"/>
      <c r="D15" s="103">
        <v>0</v>
      </c>
      <c r="E15" s="103"/>
      <c r="F15" s="103">
        <v>0</v>
      </c>
      <c r="G15" s="102"/>
      <c r="H15" s="103">
        <f>+B15+F15</f>
        <v>13450228</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v>4285278</v>
      </c>
      <c r="C18" s="103"/>
      <c r="D18" s="103">
        <v>0</v>
      </c>
      <c r="E18" s="103"/>
      <c r="F18" s="103">
        <v>0</v>
      </c>
      <c r="G18" s="102"/>
      <c r="H18" s="103">
        <f>+B18+F18</f>
        <v>4285278</v>
      </c>
      <c r="I18" s="102"/>
      <c r="J18" s="102"/>
    </row>
    <row r="19" spans="1:10" s="106" customFormat="1" x14ac:dyDescent="0.25">
      <c r="A19" s="114" t="s">
        <v>43</v>
      </c>
      <c r="B19" s="103">
        <v>1429660</v>
      </c>
      <c r="C19" s="103"/>
      <c r="D19" s="103">
        <v>0</v>
      </c>
      <c r="E19" s="103"/>
      <c r="F19" s="103">
        <v>0</v>
      </c>
      <c r="G19" s="102"/>
      <c r="H19" s="103">
        <f>+B19+F19</f>
        <v>1429660</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5083763</v>
      </c>
      <c r="C22" s="103"/>
      <c r="D22" s="103">
        <v>0</v>
      </c>
      <c r="E22" s="103"/>
      <c r="F22" s="103">
        <v>0</v>
      </c>
      <c r="G22" s="102"/>
      <c r="H22" s="103">
        <f>+B22+F22</f>
        <v>5083763</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443275</v>
      </c>
      <c r="C27" s="103"/>
      <c r="D27" s="103">
        <v>0</v>
      </c>
      <c r="E27" s="103"/>
      <c r="F27" s="103">
        <v>0</v>
      </c>
      <c r="G27" s="102"/>
      <c r="H27" s="103">
        <f>+B27+F27</f>
        <v>443275</v>
      </c>
      <c r="I27" s="102"/>
      <c r="J27" s="102"/>
    </row>
    <row r="28" spans="1:10" s="106" customFormat="1" x14ac:dyDescent="0.25">
      <c r="A28" s="102" t="s">
        <v>47</v>
      </c>
      <c r="B28" s="103">
        <v>100000</v>
      </c>
      <c r="C28" s="103"/>
      <c r="D28" s="103">
        <v>0</v>
      </c>
      <c r="E28" s="103"/>
      <c r="F28" s="103">
        <v>0</v>
      </c>
      <c r="G28" s="102"/>
      <c r="H28" s="103">
        <f>+B28+F28</f>
        <v>100000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v>99350</v>
      </c>
      <c r="C30" s="103"/>
      <c r="D30" s="103">
        <v>0</v>
      </c>
      <c r="E30" s="103"/>
      <c r="F30" s="103">
        <v>0</v>
      </c>
      <c r="G30" s="102"/>
      <c r="H30" s="103">
        <f>+B30+F30</f>
        <v>99350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101569</v>
      </c>
      <c r="C35" s="103"/>
      <c r="D35" s="113">
        <v>86526.15</v>
      </c>
      <c r="E35" s="103"/>
      <c r="F35" s="107">
        <v>191550</v>
      </c>
      <c r="G35" s="102"/>
      <c r="H35" s="107">
        <f>+B35+F35</f>
        <v>293119</v>
      </c>
      <c r="I35" s="102"/>
      <c r="J35" s="102"/>
    </row>
    <row r="36" spans="1:10" s="106" customFormat="1" ht="16.5" x14ac:dyDescent="0.35">
      <c r="A36" s="109" t="s">
        <v>55</v>
      </c>
      <c r="B36" s="111">
        <f>SUM(B10:B35)</f>
        <v>29575211</v>
      </c>
      <c r="C36" s="111"/>
      <c r="D36" s="111">
        <f>SUM(D10:D35)</f>
        <v>-920982.85</v>
      </c>
      <c r="E36" s="111"/>
      <c r="F36" s="111">
        <f>SUM(F10:F35)</f>
        <v>998890</v>
      </c>
      <c r="G36" s="112"/>
      <c r="H36" s="111">
        <f>SUM(H10:H35)</f>
        <v>30574101</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9546556</v>
      </c>
      <c r="C39" s="103"/>
      <c r="D39" s="103">
        <v>310159</v>
      </c>
      <c r="E39" s="103"/>
      <c r="F39" s="103">
        <v>2291142</v>
      </c>
      <c r="G39" s="102"/>
      <c r="H39" s="103">
        <f t="shared" ref="H39:H47" si="0">+B39+F39</f>
        <v>11837698</v>
      </c>
      <c r="I39" s="102"/>
      <c r="J39" s="102"/>
    </row>
    <row r="40" spans="1:10" s="106" customFormat="1" x14ac:dyDescent="0.25">
      <c r="A40" s="102" t="s">
        <v>58</v>
      </c>
      <c r="B40" s="103">
        <v>337105</v>
      </c>
      <c r="C40" s="103"/>
      <c r="D40" s="103">
        <v>295</v>
      </c>
      <c r="E40" s="103"/>
      <c r="F40" s="103">
        <v>3230</v>
      </c>
      <c r="G40" s="102"/>
      <c r="H40" s="103">
        <f t="shared" si="0"/>
        <v>340335</v>
      </c>
      <c r="I40" s="102"/>
      <c r="J40" s="102"/>
    </row>
    <row r="41" spans="1:10" s="106" customFormat="1" x14ac:dyDescent="0.25">
      <c r="A41" s="102" t="s">
        <v>59</v>
      </c>
      <c r="B41" s="103">
        <v>2899686</v>
      </c>
      <c r="C41" s="103"/>
      <c r="D41" s="103">
        <v>115247</v>
      </c>
      <c r="E41" s="103"/>
      <c r="F41" s="103">
        <v>664362</v>
      </c>
      <c r="G41" s="102"/>
      <c r="H41" s="103">
        <f t="shared" si="0"/>
        <v>3564048</v>
      </c>
      <c r="I41" s="102"/>
      <c r="J41" s="102"/>
    </row>
    <row r="42" spans="1:10" s="106" customFormat="1" x14ac:dyDescent="0.25">
      <c r="A42" s="102" t="s">
        <v>60</v>
      </c>
      <c r="B42" s="103">
        <v>2091795</v>
      </c>
      <c r="C42" s="103"/>
      <c r="D42" s="103">
        <v>74960</v>
      </c>
      <c r="E42" s="103"/>
      <c r="F42" s="103">
        <v>597993</v>
      </c>
      <c r="G42" s="102"/>
      <c r="H42" s="103">
        <f t="shared" si="0"/>
        <v>2689788</v>
      </c>
      <c r="I42" s="102"/>
      <c r="J42" s="102"/>
    </row>
    <row r="43" spans="1:10" s="106" customFormat="1" x14ac:dyDescent="0.25">
      <c r="A43" s="102" t="s">
        <v>61</v>
      </c>
      <c r="B43" s="103">
        <v>5506131</v>
      </c>
      <c r="C43" s="103"/>
      <c r="D43" s="103">
        <v>96844</v>
      </c>
      <c r="E43" s="103"/>
      <c r="F43" s="103">
        <v>1030563</v>
      </c>
      <c r="G43" s="102"/>
      <c r="H43" s="103">
        <f t="shared" si="0"/>
        <v>6536694</v>
      </c>
      <c r="I43" s="102"/>
      <c r="J43" s="102"/>
    </row>
    <row r="44" spans="1:10" s="106" customFormat="1" x14ac:dyDescent="0.25">
      <c r="A44" s="102" t="s">
        <v>62</v>
      </c>
      <c r="B44" s="103">
        <v>3903615</v>
      </c>
      <c r="C44" s="103"/>
      <c r="D44" s="103">
        <v>-20615</v>
      </c>
      <c r="E44" s="103"/>
      <c r="F44" s="103">
        <v>619669</v>
      </c>
      <c r="G44" s="102"/>
      <c r="H44" s="103">
        <f t="shared" si="0"/>
        <v>4523284</v>
      </c>
      <c r="I44" s="102"/>
      <c r="J44" s="102"/>
    </row>
    <row r="45" spans="1:10" s="106" customFormat="1" x14ac:dyDescent="0.25">
      <c r="A45" s="102" t="s">
        <v>63</v>
      </c>
      <c r="B45" s="103">
        <v>120500</v>
      </c>
      <c r="C45" s="103"/>
      <c r="D45" s="103">
        <v>0</v>
      </c>
      <c r="E45" s="103"/>
      <c r="F45" s="103">
        <v>0</v>
      </c>
      <c r="G45" s="102"/>
      <c r="H45" s="103">
        <f t="shared" si="0"/>
        <v>120500</v>
      </c>
      <c r="I45" s="102"/>
      <c r="J45" s="102"/>
    </row>
    <row r="46" spans="1:10" s="106" customFormat="1" ht="16.5" x14ac:dyDescent="0.35">
      <c r="A46" s="102" t="s">
        <v>217</v>
      </c>
      <c r="B46" s="107">
        <v>4360291</v>
      </c>
      <c r="C46" s="107"/>
      <c r="D46" s="107">
        <v>-1463320</v>
      </c>
      <c r="E46" s="107"/>
      <c r="F46" s="107">
        <v>-4360291</v>
      </c>
      <c r="G46" s="108"/>
      <c r="H46" s="107">
        <f t="shared" si="0"/>
        <v>0</v>
      </c>
      <c r="I46" s="102"/>
      <c r="J46" s="102"/>
    </row>
    <row r="47" spans="1:10" s="106" customFormat="1" ht="16.5" hidden="1" x14ac:dyDescent="0.35">
      <c r="A47" s="102" t="s">
        <v>216</v>
      </c>
      <c r="B47" s="107">
        <v>0</v>
      </c>
      <c r="C47" s="107"/>
      <c r="D47" s="107">
        <v>0</v>
      </c>
      <c r="E47" s="107"/>
      <c r="F47" s="107">
        <v>0</v>
      </c>
      <c r="G47" s="108"/>
      <c r="H47" s="107">
        <f t="shared" si="0"/>
        <v>0</v>
      </c>
      <c r="I47" s="102"/>
      <c r="J47" s="102"/>
    </row>
    <row r="48" spans="1:10" s="106" customFormat="1" x14ac:dyDescent="0.25">
      <c r="A48" s="109" t="s">
        <v>55</v>
      </c>
      <c r="B48" s="103">
        <f>SUM(B39:B47)</f>
        <v>28765679</v>
      </c>
      <c r="C48" s="103"/>
      <c r="D48" s="103">
        <f>SUM(D39:D47)</f>
        <v>-886430</v>
      </c>
      <c r="E48" s="103"/>
      <c r="F48" s="103">
        <f>SUM(F39:F47)</f>
        <v>846668</v>
      </c>
      <c r="G48" s="102"/>
      <c r="H48" s="103">
        <f>SUM(H39:H47)</f>
        <v>29612347</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367532</v>
      </c>
      <c r="C55" s="105"/>
      <c r="D55" s="104">
        <f>+D36-D48+D53</f>
        <v>-34552.849999999977</v>
      </c>
      <c r="E55" s="105"/>
      <c r="F55" s="104">
        <f>+F36-F48+F53</f>
        <v>152222</v>
      </c>
      <c r="G55" s="105"/>
      <c r="H55" s="104">
        <f>+H36-H48+H53</f>
        <v>519754</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7" zoomScaleNormal="100" workbookViewId="0">
      <selection activeCell="B75" sqref="B75"/>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August 31, 2023</v>
      </c>
      <c r="B3" s="136"/>
      <c r="C3" s="136"/>
      <c r="D3" s="136"/>
      <c r="E3" s="136"/>
      <c r="F3" s="136"/>
      <c r="G3" s="136"/>
      <c r="H3" s="136"/>
      <c r="I3" s="136"/>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2574800</v>
      </c>
      <c r="C10" s="121"/>
      <c r="D10" s="115">
        <v>0</v>
      </c>
      <c r="E10" s="121"/>
      <c r="F10" s="105">
        <v>0</v>
      </c>
      <c r="G10" s="120"/>
      <c r="H10" s="105">
        <f>+B10+F10</f>
        <v>2574800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2574800</v>
      </c>
      <c r="C12" s="121"/>
      <c r="D12" s="122">
        <f>SUM(D10:D11)</f>
        <v>0</v>
      </c>
      <c r="E12" s="121"/>
      <c r="F12" s="122">
        <f>SUM(F10:F11)</f>
        <v>0</v>
      </c>
      <c r="G12" s="120"/>
      <c r="H12" s="122">
        <f>SUM(H10:H11)</f>
        <v>2574800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541120</v>
      </c>
      <c r="C15" s="121"/>
      <c r="D15" s="121">
        <v>0</v>
      </c>
      <c r="E15" s="121"/>
      <c r="F15" s="121">
        <v>0</v>
      </c>
      <c r="G15" s="120"/>
      <c r="H15" s="121">
        <f t="shared" ref="H15:H27" si="0">+B15+F15</f>
        <v>541120</v>
      </c>
      <c r="I15" s="120"/>
      <c r="J15" s="102"/>
    </row>
    <row r="16" spans="1:10" s="106" customFormat="1" x14ac:dyDescent="0.25">
      <c r="A16" s="102" t="s">
        <v>80</v>
      </c>
      <c r="B16" s="121">
        <v>6905</v>
      </c>
      <c r="C16" s="121"/>
      <c r="D16" s="121">
        <v>34553</v>
      </c>
      <c r="E16" s="121"/>
      <c r="F16" s="121">
        <v>152222</v>
      </c>
      <c r="G16" s="120"/>
      <c r="H16" s="121">
        <f t="shared" si="0"/>
        <v>159127</v>
      </c>
      <c r="I16" s="120"/>
      <c r="J16" s="102"/>
    </row>
    <row r="17" spans="1:10" s="106" customFormat="1" x14ac:dyDescent="0.25">
      <c r="A17" s="102" t="s">
        <v>81</v>
      </c>
      <c r="B17" s="121">
        <v>188231</v>
      </c>
      <c r="C17" s="121"/>
      <c r="D17" s="121">
        <v>0</v>
      </c>
      <c r="E17" s="121"/>
      <c r="F17" s="121">
        <v>0</v>
      </c>
      <c r="G17" s="120"/>
      <c r="H17" s="121">
        <f t="shared" si="0"/>
        <v>188231</v>
      </c>
      <c r="I17" s="120"/>
      <c r="J17" s="102"/>
    </row>
    <row r="18" spans="1:10" s="106" customFormat="1" x14ac:dyDescent="0.25">
      <c r="A18" s="102" t="s">
        <v>82</v>
      </c>
      <c r="B18" s="121">
        <v>100548</v>
      </c>
      <c r="C18" s="121"/>
      <c r="D18" s="121">
        <v>0</v>
      </c>
      <c r="E18" s="121"/>
      <c r="F18" s="121">
        <v>0</v>
      </c>
      <c r="G18" s="120"/>
      <c r="H18" s="121">
        <f t="shared" si="0"/>
        <v>100548</v>
      </c>
      <c r="I18" s="120"/>
      <c r="J18" s="102"/>
    </row>
    <row r="19" spans="1:10" s="106" customFormat="1" x14ac:dyDescent="0.25">
      <c r="A19" s="102" t="s">
        <v>83</v>
      </c>
      <c r="B19" s="121">
        <v>29950</v>
      </c>
      <c r="C19" s="121"/>
      <c r="D19" s="121">
        <v>0</v>
      </c>
      <c r="E19" s="121"/>
      <c r="F19" s="121">
        <v>0</v>
      </c>
      <c r="G19" s="120"/>
      <c r="H19" s="121">
        <f t="shared" si="0"/>
        <v>29950</v>
      </c>
      <c r="I19" s="120"/>
      <c r="J19" s="102"/>
    </row>
    <row r="20" spans="1:10" s="106" customFormat="1" x14ac:dyDescent="0.25">
      <c r="A20" s="102" t="s">
        <v>88</v>
      </c>
      <c r="B20" s="121">
        <v>8165</v>
      </c>
      <c r="C20" s="121"/>
      <c r="D20" s="121">
        <v>0</v>
      </c>
      <c r="E20" s="121"/>
      <c r="F20" s="121">
        <v>0</v>
      </c>
      <c r="G20" s="120"/>
      <c r="H20" s="121">
        <f t="shared" si="0"/>
        <v>8165</v>
      </c>
      <c r="I20" s="120"/>
      <c r="J20" s="102"/>
    </row>
    <row r="21" spans="1:10" s="106" customFormat="1" x14ac:dyDescent="0.25">
      <c r="A21" s="102" t="s">
        <v>84</v>
      </c>
      <c r="B21" s="121">
        <v>17475</v>
      </c>
      <c r="C21" s="121"/>
      <c r="D21" s="121">
        <v>0</v>
      </c>
      <c r="E21" s="121"/>
      <c r="F21" s="121">
        <v>0</v>
      </c>
      <c r="G21" s="120"/>
      <c r="H21" s="121">
        <f t="shared" si="0"/>
        <v>17475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2500</v>
      </c>
      <c r="C23" s="121"/>
      <c r="D23" s="121">
        <v>0</v>
      </c>
      <c r="E23" s="121"/>
      <c r="F23" s="121">
        <v>0</v>
      </c>
      <c r="G23" s="120"/>
      <c r="H23" s="121">
        <f t="shared" si="0"/>
        <v>2500</v>
      </c>
      <c r="I23" s="120"/>
      <c r="J23" s="102"/>
    </row>
    <row r="24" spans="1:10" s="106" customFormat="1" x14ac:dyDescent="0.25">
      <c r="A24" s="102" t="s">
        <v>87</v>
      </c>
      <c r="B24" s="121">
        <f>199300+96373</f>
        <v>295673</v>
      </c>
      <c r="C24" s="121"/>
      <c r="D24" s="121">
        <v>0</v>
      </c>
      <c r="E24" s="121"/>
      <c r="F24" s="121">
        <v>0</v>
      </c>
      <c r="G24" s="120"/>
      <c r="H24" s="121">
        <f t="shared" si="0"/>
        <v>295673</v>
      </c>
      <c r="I24" s="120"/>
      <c r="J24" s="102"/>
    </row>
    <row r="25" spans="1:10" s="106" customFormat="1" x14ac:dyDescent="0.25">
      <c r="A25" s="102" t="s">
        <v>63</v>
      </c>
      <c r="B25" s="121">
        <v>45000</v>
      </c>
      <c r="C25" s="121"/>
      <c r="D25" s="121">
        <v>0</v>
      </c>
      <c r="E25" s="121"/>
      <c r="F25" s="121">
        <v>0</v>
      </c>
      <c r="G25" s="120"/>
      <c r="H25" s="121">
        <f t="shared" si="0"/>
        <v>45000</v>
      </c>
      <c r="I25" s="120"/>
      <c r="J25" s="102"/>
    </row>
    <row r="26" spans="1:10" s="106" customFormat="1" x14ac:dyDescent="0.25">
      <c r="A26" s="102" t="s">
        <v>64</v>
      </c>
      <c r="B26" s="121">
        <v>1696162</v>
      </c>
      <c r="C26" s="121"/>
      <c r="D26" s="121">
        <v>0</v>
      </c>
      <c r="E26" s="121"/>
      <c r="F26" s="121">
        <v>0</v>
      </c>
      <c r="G26" s="120"/>
      <c r="H26" s="121">
        <f t="shared" si="0"/>
        <v>1696162</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2942332</v>
      </c>
      <c r="C28" s="121"/>
      <c r="D28" s="122">
        <f>SUM(D15:D27)</f>
        <v>34553</v>
      </c>
      <c r="E28" s="121"/>
      <c r="F28" s="122">
        <f>SUM(F15:F27)</f>
        <v>152222</v>
      </c>
      <c r="G28" s="120"/>
      <c r="H28" s="122">
        <f>SUM(H15:H27)</f>
        <v>3094554</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-367532</v>
      </c>
      <c r="C35" s="105"/>
      <c r="D35" s="104">
        <f>+D12-D28+D33</f>
        <v>-34553</v>
      </c>
      <c r="E35" s="105"/>
      <c r="F35" s="104">
        <f>+F12-F28+F33</f>
        <v>-152222</v>
      </c>
      <c r="G35" s="105"/>
      <c r="H35" s="104">
        <f>+H12-H28+H33</f>
        <v>-519754</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2023-11-17T15:48:16Z</cp:lastPrinted>
  <dcterms:created xsi:type="dcterms:W3CDTF">2009-11-06T16:21:47Z</dcterms:created>
  <dcterms:modified xsi:type="dcterms:W3CDTF">2023-11-17T15:51:37Z</dcterms:modified>
</cp:coreProperties>
</file>