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FCA2D25A-649D-4A63-849F-BF03D1E263B9}" xr6:coauthVersionLast="47" xr6:coauthVersionMax="47" xr10:uidLastSave="{00000000-0000-0000-0000-000000000000}"/>
  <bookViews>
    <workbookView xWindow="-120" yWindow="-120" windowWidth="29040" windowHeight="15840"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0" i="1" l="1"/>
  <c r="J50" i="2" l="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H38" i="11"/>
  <c r="D38" i="1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l="1"/>
  <c r="B81" i="1" s="1"/>
  <c r="D60" i="1"/>
  <c r="D62" i="1" s="1"/>
  <c r="D68" i="1" s="1"/>
  <c r="D81" i="1" s="1"/>
  <c r="B82" i="1" l="1"/>
  <c r="D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<sst xmlns="http://schemas.openxmlformats.org/spreadsheetml/2006/main" count="883" uniqueCount="404">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</sst>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44" zoomScaleNormal="100" workbookViewId="0">
      <selection activeCell="J56" sqref="J56"/>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946024.24</v>
      </c>
      <c r="C8" s="5"/>
      <c r="D8" s="7">
        <v>3979929.86</v>
      </c>
      <c r="E8" s="16" t="s">
        <v>95</v>
      </c>
      <c r="F8" s="45"/>
    </row>
    <row r="9" spans="1:7" x14ac:dyDescent="0.25">
      <c r="A9" s="10" t="s">
        <v>3</v>
      </c>
      <c r="B9" s="5">
        <v>1260766.6599999999</v>
      </c>
      <c r="C9" s="5"/>
      <c r="D9" s="5">
        <v>2257502.12</v>
      </c>
      <c r="E9" s="16" t="s">
        <v>96</v>
      </c>
      <c r="F9" s="45"/>
    </row>
    <row r="10" spans="1:7" x14ac:dyDescent="0.25">
      <c r="A10" s="10" t="s">
        <v>4</v>
      </c>
      <c r="B10" s="5">
        <v>38602978.009999998</v>
      </c>
      <c r="C10" s="5"/>
      <c r="D10" s="5">
        <v>22530681.280000001</v>
      </c>
      <c r="E10" s="16" t="s">
        <v>97</v>
      </c>
      <c r="F10" s="46"/>
    </row>
    <row r="11" spans="1:7" x14ac:dyDescent="0.25">
      <c r="A11" s="10" t="s">
        <v>5</v>
      </c>
      <c r="B11" s="5">
        <v>2284.31</v>
      </c>
      <c r="C11" s="5"/>
      <c r="D11" s="5">
        <v>109.74</v>
      </c>
      <c r="E11" s="16" t="s">
        <v>97</v>
      </c>
      <c r="F11" s="46"/>
      <c r="G11" s="14"/>
    </row>
    <row r="12" spans="1:7" x14ac:dyDescent="0.25">
      <c r="A12" s="10" t="s">
        <v>6</v>
      </c>
      <c r="B12" s="5">
        <v>4485132.4800000004</v>
      </c>
      <c r="C12" s="5"/>
      <c r="D12" s="5">
        <v>5612466.3799999999</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45650187.330000006</v>
      </c>
      <c r="C16" s="5"/>
      <c r="D16" s="8">
        <f>SUM(D8:D15)</f>
        <v>34794941.090000004</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112129212.69</v>
      </c>
      <c r="C28" s="5"/>
      <c r="D28" s="8">
        <f>+D16+D22+D26</f>
        <v>99037127.090000004</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545257.43999999994</v>
      </c>
      <c r="C32" s="5"/>
      <c r="D32" s="5">
        <v>521129.08</v>
      </c>
      <c r="E32" s="16" t="s">
        <v>109</v>
      </c>
    </row>
    <row r="33" spans="1:5" x14ac:dyDescent="0.25">
      <c r="A33" s="10" t="s">
        <v>17</v>
      </c>
      <c r="B33" s="5">
        <v>364814.37</v>
      </c>
      <c r="C33" s="5"/>
      <c r="D33" s="5">
        <v>772772.62</v>
      </c>
      <c r="E33" s="16" t="s">
        <v>193</v>
      </c>
    </row>
    <row r="34" spans="1:5" x14ac:dyDescent="0.25">
      <c r="A34" s="10" t="s">
        <v>18</v>
      </c>
      <c r="B34" s="5">
        <v>286701.83</v>
      </c>
      <c r="C34" s="5"/>
      <c r="D34" s="5">
        <v>253027.84</v>
      </c>
      <c r="E34" s="56" t="s">
        <v>260</v>
      </c>
    </row>
    <row r="35" spans="1:5" ht="16.5" x14ac:dyDescent="0.35">
      <c r="A35" s="10" t="s">
        <v>19</v>
      </c>
      <c r="B35" s="8">
        <v>121054.92</v>
      </c>
      <c r="C35" s="5"/>
      <c r="D35" s="8">
        <v>539881.67000000004</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1317828.5599999998</v>
      </c>
      <c r="C41" s="5"/>
      <c r="D41" s="8">
        <f>SUM(D32:D35)</f>
        <v>2086811.21</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58569217.57</v>
      </c>
      <c r="C62" s="5"/>
      <c r="D62" s="8">
        <f>+D41+D60</f>
        <v>52998132.210000001</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71860807.569999993</v>
      </c>
      <c r="C68" s="5"/>
      <c r="D68" s="8">
        <f>+D62+D66</f>
        <v>63202270.210000001</v>
      </c>
    </row>
    <row r="69" spans="1:8" ht="7.5" customHeight="1" x14ac:dyDescent="0.25">
      <c r="B69" s="5"/>
      <c r="C69" s="5"/>
      <c r="D69" s="5"/>
    </row>
    <row r="70" spans="1:8" x14ac:dyDescent="0.25">
      <c r="A70" s="29" t="s">
        <v>282</v>
      </c>
      <c r="B70" s="5"/>
      <c r="C70" s="5"/>
      <c r="D70" s="5"/>
    </row>
    <row r="71" spans="1:8" x14ac:dyDescent="0.25">
      <c r="A71" s="4" t="s">
        <v>29</v>
      </c>
      <c r="B71" s="5">
        <v>29847470.550000001</v>
      </c>
      <c r="C71" s="5"/>
      <c r="D71" s="5">
        <v>27285460.699999999</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10420934.569999993</v>
      </c>
      <c r="C75" s="5"/>
      <c r="D75" s="8">
        <f>'Revenues, Expenditures, Changes'!H59</f>
        <v>8549396.1800000072</v>
      </c>
    </row>
    <row r="76" spans="1:8" ht="7.5" customHeight="1" x14ac:dyDescent="0.35">
      <c r="B76" s="8"/>
      <c r="C76" s="5"/>
      <c r="D76" s="8"/>
    </row>
    <row r="77" spans="1:8" ht="16.5" x14ac:dyDescent="0.35">
      <c r="A77" s="4" t="s">
        <v>283</v>
      </c>
      <c r="B77" s="9">
        <f>SUM(B71:B76)</f>
        <v>40268405.11999999</v>
      </c>
      <c r="C77" s="5"/>
      <c r="D77" s="9">
        <f>SUM(D71:D76)</f>
        <v>35834856.88000001</v>
      </c>
      <c r="F77" s="46"/>
      <c r="G77" s="14"/>
      <c r="H77" s="15"/>
    </row>
    <row r="78" spans="1:8" x14ac:dyDescent="0.25">
      <c r="B78" s="5"/>
      <c r="C78" s="5"/>
      <c r="D78" s="5"/>
      <c r="H78" s="15"/>
    </row>
    <row r="79" spans="1:8" x14ac:dyDescent="0.25">
      <c r="B79" s="5"/>
      <c r="C79" s="5"/>
      <c r="D79" s="5"/>
    </row>
    <row r="80" spans="1:8" x14ac:dyDescent="0.25">
      <c r="A80" s="92" t="s">
        <v>359</v>
      </c>
      <c r="B80" s="5">
        <f>+B28-B68</f>
        <v>40268405.120000005</v>
      </c>
      <c r="C80" s="5"/>
      <c r="D80" s="5">
        <f>+D28-D68</f>
        <v>35834856.880000003</v>
      </c>
    </row>
    <row r="81" spans="1:4" ht="16.5" x14ac:dyDescent="0.35">
      <c r="A81" s="92" t="s">
        <v>360</v>
      </c>
      <c r="B81" s="83">
        <f>+B77-B80</f>
        <v>0</v>
      </c>
      <c r="C81" s="83"/>
      <c r="D81" s="83">
        <f>+D77-D80</f>
        <v>0</v>
      </c>
    </row>
    <row r="82" spans="1:4" ht="16.5" x14ac:dyDescent="0.35">
      <c r="B82" s="62">
        <f>SUM(B80:B81)</f>
        <v>40268405.120000005</v>
      </c>
      <c r="C82" s="62"/>
      <c r="D82" s="62">
        <f>SUM(D80:D81)</f>
        <v>35834856.880000003</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J56" sqref="J56"/>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March 31,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45016</v>
      </c>
      <c r="K7" s="11"/>
      <c r="L7" s="11"/>
    </row>
    <row r="8" spans="1:12" s="1" customFormat="1" x14ac:dyDescent="0.25">
      <c r="A8" s="4"/>
      <c r="B8" s="22" t="s">
        <v>33</v>
      </c>
      <c r="C8" s="56"/>
      <c r="D8" s="28" t="s">
        <v>35</v>
      </c>
      <c r="E8" s="87"/>
      <c r="F8" s="22" t="s">
        <v>33</v>
      </c>
      <c r="G8" s="87"/>
      <c r="H8" s="37">
        <f>+'Revenues, Expenditures, Changes'!H9</f>
        <v>45016</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2798017.41</v>
      </c>
      <c r="E13" s="4"/>
      <c r="F13" s="3">
        <f>+D13/B13</f>
        <v>0.98184317626747519</v>
      </c>
      <c r="G13" s="4"/>
      <c r="H13" s="7">
        <v>2568732.56</v>
      </c>
      <c r="I13" s="4"/>
      <c r="J13" s="3">
        <f>+D13/H13</f>
        <v>1.0892599150142745</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72.38</v>
      </c>
      <c r="E26" s="35"/>
      <c r="F26" s="3">
        <v>0</v>
      </c>
      <c r="G26" s="35"/>
      <c r="H26" s="5">
        <v>2.12</v>
      </c>
      <c r="I26" s="4"/>
      <c r="J26" s="3">
        <f t="shared" si="1"/>
        <v>34.141509433962263</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2798646.62</v>
      </c>
      <c r="E34" s="4"/>
      <c r="F34" s="3">
        <f>+D34/B34</f>
        <v>0.9820639702992533</v>
      </c>
      <c r="G34" s="4"/>
      <c r="H34" s="8">
        <f>SUM(H10:H33)</f>
        <v>2568734.6800000002</v>
      </c>
      <c r="I34" s="4"/>
      <c r="J34" s="3">
        <f t="shared" si="2"/>
        <v>1.0895039654309491</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2348570.7200000002</v>
      </c>
      <c r="E47" s="4"/>
      <c r="F47" s="3"/>
      <c r="G47" s="4"/>
      <c r="H47" s="89">
        <f>+H34-H40+H45</f>
        <v>2283940.9300000002</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20" zoomScaleNormal="100" workbookViewId="0">
      <selection activeCell="J56" sqref="J56"/>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March 31,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133854</v>
      </c>
      <c r="E12" s="103"/>
      <c r="F12" s="103">
        <v>936985</v>
      </c>
      <c r="G12" s="102"/>
      <c r="H12" s="103">
        <f>+B12+F12</f>
        <v>936985</v>
      </c>
      <c r="I12" s="102"/>
      <c r="J12" s="102"/>
    </row>
    <row r="13" spans="1:10" s="106" customFormat="1" x14ac:dyDescent="0.25">
      <c r="A13" s="113" t="s">
        <v>94</v>
      </c>
      <c r="B13" s="103">
        <v>0</v>
      </c>
      <c r="C13" s="103"/>
      <c r="D13" s="103">
        <v>52442</v>
      </c>
      <c r="E13" s="103"/>
      <c r="F13" s="103">
        <v>353199</v>
      </c>
      <c r="G13" s="102"/>
      <c r="H13" s="103">
        <f>+B13+F13</f>
        <v>353199</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33675</v>
      </c>
      <c r="E35" s="103"/>
      <c r="F35" s="107">
        <v>350759</v>
      </c>
      <c r="G35" s="102"/>
      <c r="H35" s="107">
        <f>+B35+F35</f>
        <v>450422</v>
      </c>
      <c r="I35" s="102"/>
      <c r="J35" s="102"/>
    </row>
    <row r="36" spans="1:10" s="106" customFormat="1" ht="16.5" x14ac:dyDescent="0.35">
      <c r="A36" s="128" t="s">
        <v>55</v>
      </c>
      <c r="B36" s="110">
        <f>SUM(B10:B35)</f>
        <v>30855999</v>
      </c>
      <c r="C36" s="110"/>
      <c r="D36" s="110">
        <f>SUM(D10:D35)</f>
        <v>219971</v>
      </c>
      <c r="E36" s="110"/>
      <c r="F36" s="110">
        <f>SUM(F10:F35)</f>
        <v>1640943</v>
      </c>
      <c r="G36" s="111"/>
      <c r="H36" s="110">
        <f>SUM(H10:H35)</f>
        <v>32496942</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98156</v>
      </c>
      <c r="E39" s="103"/>
      <c r="F39" s="103">
        <v>2141564</v>
      </c>
      <c r="G39" s="102"/>
      <c r="H39" s="103">
        <f t="shared" ref="H39:H47" si="0">+B39+F39</f>
        <v>11753464</v>
      </c>
      <c r="I39" s="102"/>
      <c r="J39" s="102"/>
    </row>
    <row r="40" spans="1:10" s="106" customFormat="1" x14ac:dyDescent="0.25">
      <c r="A40" s="102" t="s">
        <v>58</v>
      </c>
      <c r="B40" s="103">
        <v>513009</v>
      </c>
      <c r="C40" s="103"/>
      <c r="D40" s="103">
        <v>0</v>
      </c>
      <c r="E40" s="103"/>
      <c r="F40" s="103">
        <v>3722</v>
      </c>
      <c r="G40" s="102"/>
      <c r="H40" s="103">
        <f t="shared" si="0"/>
        <v>516731</v>
      </c>
      <c r="I40" s="102"/>
      <c r="J40" s="102"/>
    </row>
    <row r="41" spans="1:10" s="106" customFormat="1" x14ac:dyDescent="0.25">
      <c r="A41" s="102" t="s">
        <v>59</v>
      </c>
      <c r="B41" s="103">
        <v>2883205</v>
      </c>
      <c r="C41" s="103"/>
      <c r="D41" s="103">
        <v>16697</v>
      </c>
      <c r="E41" s="103"/>
      <c r="F41" s="103">
        <v>490328</v>
      </c>
      <c r="G41" s="102"/>
      <c r="H41" s="103">
        <f t="shared" si="0"/>
        <v>3373533</v>
      </c>
      <c r="I41" s="102"/>
      <c r="J41" s="102"/>
    </row>
    <row r="42" spans="1:10" s="106" customFormat="1" x14ac:dyDescent="0.25">
      <c r="A42" s="102" t="s">
        <v>60</v>
      </c>
      <c r="B42" s="103">
        <v>2162465</v>
      </c>
      <c r="C42" s="103"/>
      <c r="D42" s="103">
        <v>28033</v>
      </c>
      <c r="E42" s="103"/>
      <c r="F42" s="103">
        <v>462683</v>
      </c>
      <c r="G42" s="102"/>
      <c r="H42" s="103">
        <f t="shared" si="0"/>
        <v>2625148</v>
      </c>
      <c r="I42" s="102"/>
      <c r="J42" s="102"/>
    </row>
    <row r="43" spans="1:10" s="106" customFormat="1" x14ac:dyDescent="0.25">
      <c r="A43" s="102" t="s">
        <v>61</v>
      </c>
      <c r="B43" s="103">
        <v>5986423</v>
      </c>
      <c r="C43" s="103"/>
      <c r="D43" s="103">
        <v>21293</v>
      </c>
      <c r="E43" s="103"/>
      <c r="F43" s="103">
        <v>851984</v>
      </c>
      <c r="G43" s="102"/>
      <c r="H43" s="103">
        <f t="shared" si="0"/>
        <v>6838407</v>
      </c>
      <c r="I43" s="102"/>
      <c r="J43" s="102"/>
    </row>
    <row r="44" spans="1:10" s="106" customFormat="1" x14ac:dyDescent="0.25">
      <c r="A44" s="102" t="s">
        <v>62</v>
      </c>
      <c r="B44" s="103">
        <v>4186776</v>
      </c>
      <c r="C44" s="103"/>
      <c r="D44" s="103">
        <v>5000</v>
      </c>
      <c r="E44" s="103"/>
      <c r="F44" s="103">
        <v>654086</v>
      </c>
      <c r="G44" s="102"/>
      <c r="H44" s="103">
        <f t="shared" si="0"/>
        <v>4840862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50792</v>
      </c>
      <c r="E46" s="103"/>
      <c r="F46" s="103">
        <v>-3158148</v>
      </c>
      <c r="G46" s="102"/>
      <c r="H46" s="103">
        <f t="shared" si="0"/>
        <v>1363525</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219971</v>
      </c>
      <c r="E48" s="103"/>
      <c r="F48" s="103">
        <f>SUM(F39:F47)</f>
        <v>1446219</v>
      </c>
      <c r="G48" s="102"/>
      <c r="H48" s="103">
        <f>SUM(H39:H47)</f>
        <v>31478721</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56" sqref="J56"/>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March 31,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J56" sqref="J56"/>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March 31,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28" zoomScaleNormal="100" workbookViewId="0">
      <selection activeCell="L49" sqref="L49"/>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March 31,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45016</v>
      </c>
    </row>
    <row r="9" spans="1:11" x14ac:dyDescent="0.25">
      <c r="B9" s="22" t="s">
        <v>33</v>
      </c>
      <c r="C9" s="56"/>
      <c r="D9" s="23" t="s">
        <v>35</v>
      </c>
      <c r="E9" s="56"/>
      <c r="F9" s="22" t="s">
        <v>33</v>
      </c>
      <c r="G9" s="56"/>
      <c r="H9" s="24">
        <v>45016</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4000834.38</v>
      </c>
      <c r="F11" s="3">
        <f t="shared" ref="F11:F23" si="0">+(D11-B11)/B11+1</f>
        <v>0.74999997750469305</v>
      </c>
      <c r="H11" s="32">
        <f>+'Rev, Exp, Cha Unrestricted'!H10+'Rev, Exp, Cha Federal Restrict'!H10+'Rev, Exp, Cha State Restr '!H10+'Rev, Exp, Cha Local Restr '!H10+'Rev, Exp, Cha Debt Service'!H10</f>
        <v>2678598</v>
      </c>
      <c r="J11" s="3">
        <f>+(D11-H11)/H11+1</f>
        <v>1.4936300183902176</v>
      </c>
      <c r="K11" s="16" t="s">
        <v>111</v>
      </c>
    </row>
    <row r="12" spans="1:11" x14ac:dyDescent="0.25">
      <c r="A12" s="4" t="s">
        <v>92</v>
      </c>
      <c r="B12" s="25"/>
      <c r="C12" s="6"/>
      <c r="D12" s="32"/>
      <c r="F12" s="3"/>
      <c r="H12" s="32"/>
      <c r="J12" s="3"/>
    </row>
    <row r="13" spans="1:11" x14ac:dyDescent="0.25">
      <c r="A13" s="10" t="s">
        <v>93</v>
      </c>
      <c r="B13" s="5">
        <f>+'Rev, Exp, Cha Unrestricted'!B12</f>
        <v>936985</v>
      </c>
      <c r="C13" s="6"/>
      <c r="D13" s="5">
        <f>+'Rev, Exp, Cha Unrestricted'!D12</f>
        <v>936987</v>
      </c>
      <c r="F13" s="3">
        <f t="shared" si="0"/>
        <v>1.0000021345058885</v>
      </c>
      <c r="H13" s="5">
        <f>+'Rev, Exp, Cha Unrestricted'!H12</f>
        <v>869483.99</v>
      </c>
      <c r="J13" s="3">
        <f>+(D13-H13)/H13+1</f>
        <v>1.077635713568458</v>
      </c>
      <c r="K13" s="16" t="s">
        <v>112</v>
      </c>
    </row>
    <row r="14" spans="1:11" x14ac:dyDescent="0.25">
      <c r="A14" s="10" t="s">
        <v>94</v>
      </c>
      <c r="B14" s="5">
        <f>+'Rev, Exp, Cha Unrestricted'!B13</f>
        <v>353199</v>
      </c>
      <c r="C14" s="6"/>
      <c r="D14" s="5">
        <f>+'Rev, Exp, Cha Unrestricted'!D13</f>
        <v>353197.79</v>
      </c>
      <c r="F14" s="3">
        <f t="shared" si="0"/>
        <v>0.99999657416923593</v>
      </c>
      <c r="H14" s="5">
        <f>+'Rev, Exp, Cha Unrestricted'!H13</f>
        <v>298899.55</v>
      </c>
      <c r="J14" s="3">
        <f>+(D14-H14)/H14+1</f>
        <v>1.1816604943031865</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13471940.189999999</v>
      </c>
      <c r="F16" s="3">
        <f t="shared" si="0"/>
        <v>0.98037681727461889</v>
      </c>
      <c r="H16" s="5">
        <f>+'Rev, Exp, Cha Unrestricted'!H15+'Rev, Exp, Cha Federal Restrict'!H15+'Rev, Exp, Cha State Restr '!H15+'Rev, Exp, Cha Local Restr '!H15+'Rev, Exp, Cha Debt Service'!H12</f>
        <v>13162926.119999999</v>
      </c>
      <c r="J16" s="3">
        <f>+(D16-H16)/H16+1</f>
        <v>1.023476092411586</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2798017.41</v>
      </c>
      <c r="F17" s="3">
        <f t="shared" si="0"/>
        <v>0.98184317626747519</v>
      </c>
      <c r="H17" s="5">
        <f>+'Rev, Exp, Cha Unrestricted'!H16+'Rev, Exp, Cha Federal Restrict'!H16+'Rev, Exp, Cha State Restr '!H16+'Rev, Exp, Cha Local Restr '!H16+'Rev, Exp, Cha Debt Service'!H13</f>
        <v>2568732.56</v>
      </c>
      <c r="J17" s="3">
        <f>+(D17-H17)/H17+1</f>
        <v>1.0892599150142745</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3458279.75</v>
      </c>
      <c r="F19" s="3">
        <f t="shared" si="0"/>
        <v>0.80874301381370062</v>
      </c>
      <c r="H19" s="5">
        <f>+'Rev, Exp, Cha Unrestricted'!H18+'Rev, Exp, Cha Federal Restrict'!H18+'Rev, Exp, Cha State Restr '!H18+'Rev, Exp, Cha Local Restr '!H18+'Rev, Exp, Cha Debt Service'!H15</f>
        <v>3354677.48</v>
      </c>
      <c r="J19" s="3">
        <f>+(D19-H19)/H19+1</f>
        <v>1.0308829300633693</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1015825.73</v>
      </c>
      <c r="F20" s="3">
        <f t="shared" si="0"/>
        <v>0.6381556462277338</v>
      </c>
      <c r="H20" s="5">
        <f>+'Rev, Exp, Cha Unrestricted'!H19+'Rev, Exp, Cha Federal Restrict'!H19+'Rev, Exp, Cha State Restr '!H19+'Rev, Exp, Cha Local Restr '!H19+'Rev, Exp, Cha Debt Service'!H16</f>
        <v>770049.2</v>
      </c>
      <c r="J20" s="3">
        <f>+(D20-H20)/H20+1</f>
        <v>1.3191699049878891</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-127075</v>
      </c>
      <c r="F21" s="3">
        <f t="shared" si="0"/>
        <v>0.57761363636363638</v>
      </c>
      <c r="H21" s="5">
        <f>+'Rev, Exp, Cha Unrestricted'!H20+'Rev, Exp, Cha Federal Restrict'!H20+'Rev, Exp, Cha State Restr '!H20+'Rev, Exp, Cha Local Restr '!H20+'Rev, Exp, Cha Debt Service'!H17</f>
        <v>-101891</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4088704.68</v>
      </c>
      <c r="F23" s="3">
        <f t="shared" si="0"/>
        <v>0.82014362877485891</v>
      </c>
      <c r="H23" s="5">
        <f>+'Rev, Exp, Cha Unrestricted'!H22+'Rev, Exp, Cha Federal Restrict'!H22+'Rev, Exp, Cha State Restr '!H22+'Rev, Exp, Cha Local Restr '!H22+'Rev, Exp, Cha Debt Service'!H19</f>
        <v>3764374.24</v>
      </c>
      <c r="J23" s="3">
        <f>+(D23-H23)/H23+1</f>
        <v>1.0861578629865452</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-122647.06</v>
      </c>
      <c r="F26" s="3">
        <f t="shared" ref="F26:F33" si="1">+(D26-B26)/B26+1</f>
        <v>0.40882353333333332</v>
      </c>
      <c r="H26" s="5">
        <f>+'Rev, Exp, Cha Unrestricted'!H25+'Rev, Exp, Cha Federal Restrict'!H25+'Rev, Exp, Cha State Restr '!H25+'Rev, Exp, Cha Local Restr '!H25+'Rev, Exp, Cha Debt Service'!H22</f>
        <v>-144091.35999999999</v>
      </c>
      <c r="J26" s="3">
        <f t="shared" ref="J26:J33" si="2">+(D26-H26)/H26+1</f>
        <v>0.8511756707688789</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371156.13</v>
      </c>
      <c r="F28" s="3">
        <f t="shared" si="1"/>
        <v>0.85685293262105167</v>
      </c>
      <c r="H28" s="5">
        <f>+'Rev, Exp, Cha Unrestricted'!H27+'Rev, Exp, Cha Federal Restrict'!H27+'Rev, Exp, Cha State Restr '!H27+'Rev, Exp, Cha Local Restr '!H27+'Rev, Exp, Cha Debt Service'!H24</f>
        <v>334443.17</v>
      </c>
      <c r="J28" s="3">
        <f t="shared" si="2"/>
        <v>1.1097733884055698</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395408.68</v>
      </c>
      <c r="F30" s="3">
        <f t="shared" si="1"/>
        <v>0.49425899652876304</v>
      </c>
      <c r="H30" s="5">
        <f>+'Rev, Exp, Cha Unrestricted'!H28+'Rev, Exp, Cha Federal Restrict'!H28+'Rev, Exp, Cha State Restr '!H28+'Rev, Exp, Cha Local Restr '!H28+'Rev, Exp, Cha Debt Service'!H26</f>
        <v>233693.52</v>
      </c>
      <c r="J30" s="3">
        <f t="shared" si="2"/>
        <v>1.6919967656783981</v>
      </c>
      <c r="K30" s="16" t="s">
        <v>127</v>
      </c>
    </row>
    <row r="31" spans="1:13" x14ac:dyDescent="0.25">
      <c r="A31" s="4" t="s">
        <v>64</v>
      </c>
      <c r="B31" s="6">
        <f>+'Rev, Exp, Cha Auxiliary'!B13</f>
        <v>2447900</v>
      </c>
      <c r="C31" s="6"/>
      <c r="D31" s="5">
        <f>+'Rev, Exp, Cha Auxiliary'!D13</f>
        <v>1189370.25</v>
      </c>
      <c r="F31" s="3">
        <f t="shared" si="1"/>
        <v>0.48587370807631036</v>
      </c>
      <c r="H31" s="5">
        <f>+'Rev, Exp, Cha Auxiliary'!H13</f>
        <v>1257314.76</v>
      </c>
      <c r="J31" s="3">
        <f t="shared" si="2"/>
        <v>0.94596062007575576</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69119.650000000009</v>
      </c>
      <c r="F32" s="3">
        <f t="shared" si="1"/>
        <v>0.60711155028546337</v>
      </c>
      <c r="H32" s="5">
        <f>+'Rev, Exp, Cha Unrestricted'!H30+'Rev, Exp, Cha Federal Restrict'!H30+'Rev, Exp, Cha State Restr '!H30+'Rev, Exp, Cha Local Restr '!H30+'Rev, Exp, Cha Debt Service'!H28</f>
        <v>67420.62</v>
      </c>
      <c r="J32" s="3">
        <f t="shared" si="2"/>
        <v>1.0252004505446555</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6116534.75</v>
      </c>
      <c r="F33" s="3">
        <f t="shared" si="1"/>
        <v>1.8466928339124125</v>
      </c>
      <c r="H33" s="5">
        <f>+'Rev, Exp, Cha Unrestricted'!H31+'Rev, Exp, Cha Federal Restrict'!H31+'Rev, Exp, Cha State Restr '!H31+'Rev, Exp, Cha Local Restr '!H31+'Rev, Exp, Cha Debt Service'!H29</f>
        <v>5267428.4400000004</v>
      </c>
      <c r="J33" s="3">
        <f t="shared" si="2"/>
        <v>1.1611994011256088</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3873065.79</v>
      </c>
      <c r="F35" s="3">
        <f t="shared" ref="F35:F38" si="3">+(D35-B35)/B35+1</f>
        <v>1.2771756431276389</v>
      </c>
      <c r="H35" s="5">
        <f>+'Rev, Exp, Cha Unrestricted'!H33+'Rev, Exp, Cha Federal Restrict'!H33+'Rev, Exp, Cha State Restr '!H33+'Rev, Exp, Cha Local Restr '!H33+'Rev, Exp, Cha Debt Service'!H31</f>
        <v>1907688.45</v>
      </c>
      <c r="J35" s="3">
        <f t="shared" ref="J35:J38" si="4">+(D35-H35)/H35+1</f>
        <v>2.0302402051026727</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276503.65999999997</v>
      </c>
      <c r="F36" s="3">
        <f t="shared" si="3"/>
        <v>1.260748870356607</v>
      </c>
      <c r="H36" s="5">
        <f>+'Rev, Exp, Cha Unrestricted'!H34+'Rev, Exp, Cha Federal Restrict'!H34+'Rev, Exp, Cha State Restr '!H34+'Rev, Exp, Cha Local Restr '!H34+'Rev, Exp, Cha Debt Service'!H32</f>
        <v>257163.84</v>
      </c>
      <c r="J36" s="3">
        <f t="shared" si="4"/>
        <v>1.0752042744423165</v>
      </c>
      <c r="K36" s="16" t="s">
        <v>141</v>
      </c>
    </row>
    <row r="37" spans="1:11" ht="16.5" x14ac:dyDescent="0.35">
      <c r="A37" s="10" t="s">
        <v>54</v>
      </c>
      <c r="B37" s="26">
        <f>+'Rev, Exp, Cha Unrestricted'!B35+'Rev, Exp, Cha Federal Restrict'!B35+'Rev, Exp, Cha State Restr '!B35+'Rev, Exp, Cha Local Restr '!B35+'Rev, Exp, Cha Debt Service'!B33</f>
        <v>496308</v>
      </c>
      <c r="C37" s="6"/>
      <c r="D37" s="8">
        <f>+'Rev, Exp, Cha Unrestricted'!D35+'Rev, Exp, Cha Federal Restrict'!D35+'Rev, Exp, Cha State Restr '!D35+'Rev, Exp, Cha Local Restr '!D35+'Rev, Exp, Cha Debt Service'!D33</f>
        <v>585525.26</v>
      </c>
      <c r="F37" s="3">
        <f t="shared" si="3"/>
        <v>1.1797618817347293</v>
      </c>
      <c r="H37" s="8">
        <f>+'Rev, Exp, Cha Unrestricted'!H35+'Rev, Exp, Cha Federal Restrict'!H35+'Rev, Exp, Cha State Restr '!H35+'Rev, Exp, Cha Local Restr '!H35+'Rev, Exp, Cha Debt Service'!H33</f>
        <v>116718.57999999999</v>
      </c>
      <c r="J37" s="3">
        <f t="shared" si="4"/>
        <v>5.0165557188924002</v>
      </c>
      <c r="K37" s="16" t="s">
        <v>142</v>
      </c>
    </row>
    <row r="38" spans="1:11" ht="16.5" x14ac:dyDescent="0.35">
      <c r="A38" s="56" t="s">
        <v>55</v>
      </c>
      <c r="B38" s="26">
        <f>SUM(B11:B37)</f>
        <v>44404488</v>
      </c>
      <c r="C38" s="6"/>
      <c r="D38" s="8">
        <f>SUM(D11:D37)</f>
        <v>42750749.039999992</v>
      </c>
      <c r="F38" s="3">
        <f t="shared" si="3"/>
        <v>0.96275739155015128</v>
      </c>
      <c r="H38" s="8">
        <f>SUM(H11:H37)</f>
        <v>36663630.160000011</v>
      </c>
      <c r="J38" s="3">
        <f t="shared" si="4"/>
        <v>1.1660260823447053</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12651219</v>
      </c>
      <c r="C41" s="6"/>
      <c r="D41" s="5">
        <f>+'Rev, Exp, Cha Unrestricted'!D39+'Rev, Exp, Cha Federal Restrict'!D39+'Rev, Exp, Cha State Restr '!D39+'Rev, Exp, Cha Local Restr '!D39</f>
        <v>8466238.1100000013</v>
      </c>
      <c r="F41" s="3">
        <f t="shared" ref="F41:F52" si="5">+(D41-B41)/B41+1</f>
        <v>0.66920334791453695</v>
      </c>
      <c r="H41" s="5">
        <f>+'Rev, Exp, Cha Unrestricted'!H39+'Rev, Exp, Cha Federal Restrict'!H39+'Rev, Exp, Cha State Restr '!H39+'Rev, Exp, Cha Local Restr '!H39</f>
        <v>7745388.8799999999</v>
      </c>
      <c r="J41" s="3">
        <f t="shared" ref="J41:J50" si="6">+(D41-H41)/H41+1</f>
        <v>1.0930681778756604</v>
      </c>
      <c r="K41" s="16" t="s">
        <v>143</v>
      </c>
    </row>
    <row r="42" spans="1:11" x14ac:dyDescent="0.25">
      <c r="A42" s="4" t="s">
        <v>58</v>
      </c>
      <c r="B42" s="6">
        <f>+'Rev, Exp, Cha Unrestricted'!B40+'Rev, Exp, Cha Federal Restrict'!B40+'Rev, Exp, Cha State Restr '!B40+'Rev, Exp, Cha Local Restr '!B40</f>
        <v>516731</v>
      </c>
      <c r="C42" s="6"/>
      <c r="D42" s="5">
        <f>+'Rev, Exp, Cha Unrestricted'!D40+'Rev, Exp, Cha Federal Restrict'!D40+'Rev, Exp, Cha State Restr '!D40+'Rev, Exp, Cha Local Restr '!D40</f>
        <v>143875.43</v>
      </c>
      <c r="F42" s="3">
        <f t="shared" si="5"/>
        <v>0.27843390468154605</v>
      </c>
      <c r="H42" s="5">
        <f>+'Rev, Exp, Cha Unrestricted'!H40+'Rev, Exp, Cha Federal Restrict'!H40+'Rev, Exp, Cha State Restr '!H40+'Rev, Exp, Cha Local Restr '!H40</f>
        <v>132974.07999999999</v>
      </c>
      <c r="J42" s="3">
        <f t="shared" si="6"/>
        <v>1.0819810146458619</v>
      </c>
      <c r="K42" s="16" t="s">
        <v>146</v>
      </c>
    </row>
    <row r="43" spans="1:11" x14ac:dyDescent="0.25">
      <c r="A43" s="4" t="s">
        <v>59</v>
      </c>
      <c r="B43" s="6">
        <f>+'Rev, Exp, Cha Unrestricted'!B41+'Rev, Exp, Cha Federal Restrict'!B41+'Rev, Exp, Cha State Restr '!B41+'Rev, Exp, Cha Local Restr '!B41</f>
        <v>3383574</v>
      </c>
      <c r="C43" s="6"/>
      <c r="D43" s="5">
        <f>+'Rev, Exp, Cha Unrestricted'!D41+'Rev, Exp, Cha Federal Restrict'!D41+'Rev, Exp, Cha State Restr '!D41+'Rev, Exp, Cha Local Restr '!D41</f>
        <v>2000623.35</v>
      </c>
      <c r="F43" s="3">
        <f t="shared" si="5"/>
        <v>0.59127518712462035</v>
      </c>
      <c r="H43" s="5">
        <f>+'Rev, Exp, Cha Unrestricted'!H41+'Rev, Exp, Cha Federal Restrict'!H41+'Rev, Exp, Cha State Restr '!H41+'Rev, Exp, Cha Local Restr '!H41</f>
        <v>2207602.7999999998</v>
      </c>
      <c r="J43" s="3">
        <f t="shared" si="6"/>
        <v>0.90624244089561778</v>
      </c>
      <c r="K43" s="16" t="s">
        <v>151</v>
      </c>
    </row>
    <row r="44" spans="1:11" x14ac:dyDescent="0.25">
      <c r="A44" s="4" t="s">
        <v>60</v>
      </c>
      <c r="B44" s="6">
        <f>+'Rev, Exp, Cha Unrestricted'!B42+'Rev, Exp, Cha Federal Restrict'!B42+'Rev, Exp, Cha State Restr '!B42+'Rev, Exp, Cha Local Restr '!B42</f>
        <v>3053426</v>
      </c>
      <c r="C44" s="6"/>
      <c r="D44" s="5">
        <f>+'Rev, Exp, Cha Unrestricted'!D42+'Rev, Exp, Cha Federal Restrict'!D42+'Rev, Exp, Cha State Restr '!D42+'Rev, Exp, Cha Local Restr '!D42</f>
        <v>2044861.54</v>
      </c>
      <c r="F44" s="3">
        <f t="shared" si="5"/>
        <v>0.66969415338704785</v>
      </c>
      <c r="H44" s="5">
        <f>+'Rev, Exp, Cha Unrestricted'!H42+'Rev, Exp, Cha Federal Restrict'!H42+'Rev, Exp, Cha State Restr '!H42+'Rev, Exp, Cha Local Restr '!H42</f>
        <v>2050996.31</v>
      </c>
      <c r="J44" s="3">
        <f t="shared" si="6"/>
        <v>0.99700888296576218</v>
      </c>
      <c r="K44" s="16" t="s">
        <v>155</v>
      </c>
    </row>
    <row r="45" spans="1:11" x14ac:dyDescent="0.25">
      <c r="A45" s="4" t="s">
        <v>61</v>
      </c>
      <c r="B45" s="6">
        <f>+'Rev, Exp, Cha Unrestricted'!B43+'Rev, Exp, Cha Federal Restrict'!B43+'Rev, Exp, Cha State Restr '!B43+'Rev, Exp, Cha Local Restr '!B43</f>
        <v>8686287</v>
      </c>
      <c r="C45" s="6"/>
      <c r="D45" s="5">
        <f>+'Rev, Exp, Cha Unrestricted'!D43+'Rev, Exp, Cha Federal Restrict'!D43+'Rev, Exp, Cha State Restr '!D43+'Rev, Exp, Cha Local Restr '!D43</f>
        <v>6648282.0500000007</v>
      </c>
      <c r="F45" s="3">
        <f t="shared" si="5"/>
        <v>0.76537674267497735</v>
      </c>
      <c r="H45" s="5">
        <f>+'Rev, Exp, Cha Unrestricted'!H43+'Rev, Exp, Cha Federal Restrict'!H43+'Rev, Exp, Cha State Restr '!H43+'Rev, Exp, Cha Local Restr '!H43</f>
        <v>4065496.4299999997</v>
      </c>
      <c r="J45" s="3">
        <f t="shared" si="6"/>
        <v>1.6352940322222842</v>
      </c>
      <c r="K45" s="16" t="s">
        <v>160</v>
      </c>
    </row>
    <row r="46" spans="1:11" x14ac:dyDescent="0.25">
      <c r="A46" s="4" t="s">
        <v>62</v>
      </c>
      <c r="B46" s="6">
        <f>+'Rev, Exp, Cha Unrestricted'!B44+'Rev, Exp, Cha Federal Restrict'!B44+'Rev, Exp, Cha State Restr '!B44+'Rev, Exp, Cha Local Restr '!B44</f>
        <v>4840862</v>
      </c>
      <c r="C46" s="6"/>
      <c r="D46" s="5">
        <f>+'Rev, Exp, Cha Unrestricted'!D44+'Rev, Exp, Cha Federal Restrict'!D44+'Rev, Exp, Cha State Restr '!D44+'Rev, Exp, Cha Local Restr '!D44</f>
        <v>3037461.76</v>
      </c>
      <c r="F46" s="3">
        <f t="shared" si="5"/>
        <v>0.6274629931611353</v>
      </c>
      <c r="H46" s="5">
        <f>+'Rev, Exp, Cha Unrestricted'!H44+'Rev, Exp, Cha Federal Restrict'!H44+'Rev, Exp, Cha State Restr '!H44+'Rev, Exp, Cha Local Restr '!H44</f>
        <v>2641214.7400000002</v>
      </c>
      <c r="J46" s="3">
        <f t="shared" si="6"/>
        <v>1.1500245375731923</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6860972.4100000001</v>
      </c>
      <c r="F47" s="3">
        <f t="shared" si="5"/>
        <v>1.8453276283316085</v>
      </c>
      <c r="H47" s="5">
        <f>+'Rev, Exp, Cha Unrestricted'!H45+'Rev, Exp, Cha Federal Restrict'!H45+'Rev, Exp, Cha State Restr '!H45+'Rev, Exp, Cha Local Restr '!H45</f>
        <v>5793610.4900000002</v>
      </c>
      <c r="J47" s="3">
        <f t="shared" si="6"/>
        <v>1.1842308732770883</v>
      </c>
      <c r="K47" s="16" t="s">
        <v>183</v>
      </c>
    </row>
    <row r="48" spans="1:11" x14ac:dyDescent="0.25">
      <c r="A48" s="4" t="s">
        <v>64</v>
      </c>
      <c r="B48" s="6">
        <f>+'Rev, Exp, Cha Auxiliary'!B30</f>
        <v>3024121</v>
      </c>
      <c r="C48" s="6"/>
      <c r="D48" s="5">
        <f>+'Rev, Exp, Cha Auxiliary'!D30</f>
        <v>1626389.3299999998</v>
      </c>
      <c r="F48" s="3">
        <f t="shared" si="5"/>
        <v>0.53780564005210096</v>
      </c>
      <c r="H48" s="5">
        <f>+'Rev, Exp, Cha Auxiliary'!H30</f>
        <v>1646560.5200000003</v>
      </c>
      <c r="J48" s="3">
        <f t="shared" si="6"/>
        <v>0.9877494997875933</v>
      </c>
      <c r="K48" s="16" t="s">
        <v>189</v>
      </c>
    </row>
    <row r="49" spans="1:11" x14ac:dyDescent="0.25">
      <c r="A49" s="4" t="s">
        <v>76</v>
      </c>
      <c r="B49" s="6">
        <f>+'Rev, Exp, Cha Unrestricted'!B47+'Rev, Exp, Cha Federal Restrict'!B47+'Rev, Exp, Cha State Restr '!B47+'Rev, Exp, Cha Local Restr '!B47</f>
        <v>1363525</v>
      </c>
      <c r="C49" s="6"/>
      <c r="D49" s="5">
        <f>+'Rev, Exp, Cha Unrestricted'!D47+'Rev, Exp, Cha Federal Restrict'!D47+'Rev, Exp, Cha State Restr '!D47+'Rev, Exp, Cha Local Restr '!D47</f>
        <v>787586.73</v>
      </c>
      <c r="F49" s="3">
        <f t="shared" si="5"/>
        <v>0.57761077354650636</v>
      </c>
      <c r="H49" s="5">
        <f>+'Rev, Exp, Cha Unrestricted'!H47+'Rev, Exp, Cha Federal Restrict'!H47+'Rev, Exp, Cha State Restr '!H47+'Rev, Exp, Cha Local Restr '!H47</f>
        <v>1105111.02</v>
      </c>
      <c r="J49" s="3">
        <f t="shared" si="6"/>
        <v>0.71267656891160125</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44296580</v>
      </c>
      <c r="C52" s="6"/>
      <c r="D52" s="8">
        <f>SUM(D41:D51)</f>
        <v>32066366.609999999</v>
      </c>
      <c r="F52" s="3">
        <f t="shared" si="5"/>
        <v>0.72390163326378687</v>
      </c>
      <c r="H52" s="8">
        <f>SUM(H41:H51)</f>
        <v>27673749.020000003</v>
      </c>
      <c r="J52" s="3">
        <f t="shared" ref="J52" si="7">+(D52-H52)/H52+1</f>
        <v>1.1587286777380768</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455051.54</v>
      </c>
      <c r="F55" s="3">
        <f t="shared" ref="F55:F56" si="8">+(D55-B55)/B55+1</f>
        <v>1.3620545837673455</v>
      </c>
      <c r="H55" s="5">
        <f>+'Rev, Exp, Cha Unrestricted'!H53+'Rev, Exp, Cha Federal Restrict'!H52+'Rev, Exp, Cha State Restr '!H52+'Rev, Exp, Cha Local Restr '!H52+'Rev, Exp, Cha Auxiliary'!H33+'Rev, Exp, Cha Debt Service'!H43</f>
        <v>258676.76</v>
      </c>
      <c r="J55" s="3">
        <f t="shared" ref="J55:J56" si="9">+(D55-H55)/H55+1</f>
        <v>1.7591512279649706</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-718499.4</v>
      </c>
      <c r="F56" s="3">
        <f t="shared" si="8"/>
        <v>1.6255642533936652</v>
      </c>
      <c r="H56" s="8">
        <f>+'Rev, Exp, Cha Unrestricted'!H54+'Rev, Exp, Cha Federal Restrict'!H53+'Rev, Exp, Cha State Restr '!H53+'Rev, Exp, Cha Local Restr '!H53+'Rev, Exp, Cha Debt Service'!H44</f>
        <v>-699161.72</v>
      </c>
      <c r="J56" s="3">
        <f t="shared" si="9"/>
        <v>1.027658379237353</v>
      </c>
    </row>
    <row r="57" spans="1:11" ht="16.5" x14ac:dyDescent="0.35">
      <c r="A57" s="56" t="s">
        <v>55</v>
      </c>
      <c r="B57" s="26">
        <f>SUM(B55:B56)</f>
        <v>-107908</v>
      </c>
      <c r="C57" s="6"/>
      <c r="D57" s="8">
        <f>SUM(D55:D56)</f>
        <v>-263447.86000000004</v>
      </c>
      <c r="F57" s="3"/>
      <c r="G57" s="26">
        <f>SUM(G55:G56)</f>
        <v>0</v>
      </c>
      <c r="H57" s="8">
        <f>SUM(H55:H56)</f>
        <v>-440484.95999999996</v>
      </c>
      <c r="J57" s="3"/>
    </row>
    <row r="58" spans="1:11" ht="3.95" customHeight="1" x14ac:dyDescent="0.25">
      <c r="B58" s="6"/>
      <c r="C58" s="6"/>
      <c r="D58" s="6"/>
      <c r="F58" s="3"/>
      <c r="H58" s="6"/>
      <c r="J58" s="3"/>
    </row>
    <row r="59" spans="1:11" ht="16.5" x14ac:dyDescent="0.35">
      <c r="A59" s="4" t="s">
        <v>397</v>
      </c>
      <c r="B59" s="34">
        <f>+B38-B52+B57</f>
        <v>0</v>
      </c>
      <c r="C59" s="6"/>
      <c r="D59" s="9">
        <f>+D38-D52+D57</f>
        <v>10420934.569999993</v>
      </c>
      <c r="F59" s="3"/>
      <c r="H59" s="9">
        <f>+H38-H52+H57</f>
        <v>8549396.1800000072</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J56" sqref="J56"/>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March 31,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3" zoomScaleNormal="100" workbookViewId="0">
      <selection activeCell="J56" sqref="J56"/>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March 31,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45016</v>
      </c>
      <c r="K7" s="11"/>
    </row>
    <row r="8" spans="1:11" s="1" customFormat="1" x14ac:dyDescent="0.25">
      <c r="A8" s="4"/>
      <c r="B8" s="22" t="s">
        <v>33</v>
      </c>
      <c r="C8" s="80"/>
      <c r="D8" s="28" t="s">
        <v>35</v>
      </c>
      <c r="E8" s="87"/>
      <c r="F8" s="22" t="s">
        <v>33</v>
      </c>
      <c r="G8" s="87"/>
      <c r="H8" s="24">
        <f>+'Revenues, Expenditures, Changes'!H9</f>
        <v>45016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4000834.38</v>
      </c>
      <c r="E10" s="4"/>
      <c r="F10" s="3">
        <f>+(D10-B10)/B10+1</f>
        <v>0.74999997750469305</v>
      </c>
      <c r="G10" s="4"/>
      <c r="H10" s="32">
        <v>2678598</v>
      </c>
      <c r="I10" s="4"/>
      <c r="J10" s="3">
        <f t="shared" ref="J10" si="0">+(D10-H10)/H10+1</f>
        <v>1.4936300183902176</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936985</v>
      </c>
      <c r="C12" s="6"/>
      <c r="D12" s="5">
        <v>936987</v>
      </c>
      <c r="E12" s="4"/>
      <c r="F12" s="3">
        <f>+(D12-B12)/B12+1</f>
        <v>1.0000021345058885</v>
      </c>
      <c r="G12" s="4"/>
      <c r="H12" s="5">
        <v>869483.99</v>
      </c>
      <c r="I12" s="4"/>
      <c r="J12" s="3">
        <f t="shared" ref="J12:J13" si="1">+(D12-H12)/H12+1</f>
        <v>1.077635713568458</v>
      </c>
      <c r="K12" s="11"/>
    </row>
    <row r="13" spans="1:11" s="1" customFormat="1" x14ac:dyDescent="0.25">
      <c r="A13" s="10" t="s">
        <v>94</v>
      </c>
      <c r="B13" s="6">
        <v>353199</v>
      </c>
      <c r="C13" s="6"/>
      <c r="D13" s="5">
        <v>353197.79</v>
      </c>
      <c r="E13" s="4"/>
      <c r="F13" s="3">
        <f>+(D13-B13)/B13+1</f>
        <v>0.99999657416923593</v>
      </c>
      <c r="G13" s="4"/>
      <c r="H13" s="5">
        <v>298899.55</v>
      </c>
      <c r="I13" s="4"/>
      <c r="J13" s="3">
        <f t="shared" si="1"/>
        <v>1.1816604943031865</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13471940.189999999</v>
      </c>
      <c r="E15" s="4"/>
      <c r="F15" s="3">
        <f>+(D15-B15)/B15+1</f>
        <v>0.98037681727461889</v>
      </c>
      <c r="G15" s="4"/>
      <c r="H15" s="5">
        <v>13162926.119999999</v>
      </c>
      <c r="I15" s="4"/>
      <c r="J15" s="3">
        <f t="shared" ref="J15" si="2">+(D15-H15)/H15+1</f>
        <v>1.023476092411586</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3458279.75</v>
      </c>
      <c r="E18" s="4"/>
      <c r="F18" s="3">
        <f>+(D18-B18)/B18+1</f>
        <v>0.80874301381370062</v>
      </c>
      <c r="G18" s="4"/>
      <c r="H18" s="5">
        <v>3354677.48</v>
      </c>
      <c r="I18" s="4"/>
      <c r="J18" s="3">
        <f t="shared" ref="J18:J22" si="3">+(D18-H18)/H18+1</f>
        <v>1.0308829300633693</v>
      </c>
      <c r="K18" s="11"/>
    </row>
    <row r="19" spans="1:11" s="1" customFormat="1" x14ac:dyDescent="0.25">
      <c r="A19" s="10" t="s">
        <v>43</v>
      </c>
      <c r="B19" s="6">
        <f>515915+196345+215000+35000+122400+496200+10955</f>
        <v>1591815</v>
      </c>
      <c r="C19" s="6"/>
      <c r="D19" s="5">
        <v>1015825.73</v>
      </c>
      <c r="E19" s="4"/>
      <c r="F19" s="3">
        <f>+(D19-B19)/B19+1</f>
        <v>0.6381556462277338</v>
      </c>
      <c r="G19" s="4"/>
      <c r="H19" s="5">
        <v>770049.2</v>
      </c>
      <c r="I19" s="4"/>
      <c r="J19" s="3">
        <f t="shared" si="3"/>
        <v>1.3191699049878891</v>
      </c>
      <c r="K19" s="11"/>
    </row>
    <row r="20" spans="1:11" s="1" customFormat="1" x14ac:dyDescent="0.25">
      <c r="A20" s="10" t="s">
        <v>75</v>
      </c>
      <c r="B20" s="6">
        <v>-220000</v>
      </c>
      <c r="C20" s="6"/>
      <c r="D20" s="5">
        <v>-127075</v>
      </c>
      <c r="E20" s="4"/>
      <c r="F20" s="3">
        <f>+(D20-B20)/B20+1</f>
        <v>0.57761363636363638</v>
      </c>
      <c r="G20" s="4"/>
      <c r="H20" s="5">
        <v>-101891</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4088704.68</v>
      </c>
      <c r="E22" s="4"/>
      <c r="F22" s="3">
        <f>+(D22-B22)/B22+1</f>
        <v>0.82014362877485891</v>
      </c>
      <c r="G22" s="4"/>
      <c r="H22" s="5">
        <v>3764374.24</v>
      </c>
      <c r="I22" s="4"/>
      <c r="J22" s="3">
        <f t="shared" si="3"/>
        <v>1.0861578629865452</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-122647.06</v>
      </c>
      <c r="E25" s="4"/>
      <c r="F25" s="3">
        <f>+(D25-B25)/B25+1</f>
        <v>0.40882353333333332</v>
      </c>
      <c r="G25" s="4"/>
      <c r="H25" s="5">
        <v>-144091.35999999999</v>
      </c>
      <c r="I25" s="4"/>
      <c r="J25" s="3">
        <f t="shared" ref="J25:J30" si="4">+(D25-H25)/H25+1</f>
        <v>0.8511756707688789</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371156.13</v>
      </c>
      <c r="E27" s="4"/>
      <c r="F27" s="3">
        <f>+(D27-B27)/B27+1</f>
        <v>0.85685293262105167</v>
      </c>
      <c r="G27" s="4"/>
      <c r="H27" s="5">
        <v>334443.17</v>
      </c>
      <c r="I27" s="4"/>
      <c r="J27" s="3">
        <f t="shared" si="4"/>
        <v>1.1097733884055698</v>
      </c>
      <c r="K27" s="11"/>
    </row>
    <row r="28" spans="1:11" s="1" customFormat="1" x14ac:dyDescent="0.25">
      <c r="A28" s="4" t="s">
        <v>47</v>
      </c>
      <c r="B28" s="6">
        <v>800000</v>
      </c>
      <c r="C28" s="6"/>
      <c r="D28" s="5">
        <v>395332.04</v>
      </c>
      <c r="E28" s="4"/>
      <c r="F28" s="3">
        <f>+(D28-B28)/B28+1</f>
        <v>0.49416504999999999</v>
      </c>
      <c r="G28" s="4"/>
      <c r="H28" s="5">
        <v>233689.28</v>
      </c>
      <c r="I28" s="4"/>
      <c r="J28" s="3">
        <f t="shared" si="4"/>
        <v>1.6916995079962589</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68562.820000000007</v>
      </c>
      <c r="E30" s="4"/>
      <c r="F30" s="3">
        <f>+(D30-B30)/B30+1</f>
        <v>0.60222064119455432</v>
      </c>
      <c r="G30" s="4"/>
      <c r="H30" s="5">
        <v>67420.62</v>
      </c>
      <c r="I30" s="4"/>
      <c r="J30" s="3">
        <f t="shared" si="4"/>
        <v>1.0169414045732599</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450422</v>
      </c>
      <c r="C35" s="6"/>
      <c r="D35" s="33">
        <v>504380.67</v>
      </c>
      <c r="E35" s="4"/>
      <c r="F35" s="3">
        <f>+(D35-B35)/B35+1</f>
        <v>1.1197958137035935</v>
      </c>
      <c r="G35" s="4"/>
      <c r="H35" s="33">
        <v>73696.06</v>
      </c>
      <c r="I35" s="4"/>
      <c r="J35" s="3">
        <f t="shared" ref="J35:J36" si="8">+(D35-H35)/H35+1</f>
        <v>6.8440656121914794</v>
      </c>
      <c r="K35" s="38"/>
    </row>
    <row r="36" spans="1:11" s="1" customFormat="1" ht="16.5" x14ac:dyDescent="0.35">
      <c r="A36" s="80" t="s">
        <v>55</v>
      </c>
      <c r="B36" s="26">
        <f>SUM(B10:B35)</f>
        <v>32496942</v>
      </c>
      <c r="C36" s="6"/>
      <c r="D36" s="8">
        <f>SUM(D10:D35)</f>
        <v>28415479.120000001</v>
      </c>
      <c r="E36" s="4"/>
      <c r="F36" s="3">
        <f>+(D36-B36)/B36+1</f>
        <v>0.8744047092184859</v>
      </c>
      <c r="G36" s="4"/>
      <c r="H36" s="8">
        <f>SUM(H10:H35)</f>
        <v>25362275.350000001</v>
      </c>
      <c r="I36" s="4"/>
      <c r="J36" s="3">
        <f t="shared" si="8"/>
        <v>1.1203836693619051</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11753464</v>
      </c>
      <c r="C39" s="6"/>
      <c r="D39" s="90">
        <v>7223452.7800000003</v>
      </c>
      <c r="E39" s="4"/>
      <c r="F39" s="3">
        <f t="shared" ref="F39:F49" si="9">+(D39-B39)/B39+1</f>
        <v>0.61458075508633025</v>
      </c>
      <c r="G39" s="4"/>
      <c r="H39" s="90">
        <v>6529016.1699999999</v>
      </c>
      <c r="I39" s="4"/>
      <c r="J39" s="3">
        <f t="shared" ref="J39:J50" si="10">+(D39-H39)/H39+1</f>
        <v>1.1063616005717445</v>
      </c>
      <c r="K39" s="11"/>
    </row>
    <row r="40" spans="1:11" s="1" customFormat="1" x14ac:dyDescent="0.25">
      <c r="A40" s="4" t="s">
        <v>58</v>
      </c>
      <c r="B40" s="6">
        <v>516731</v>
      </c>
      <c r="C40" s="6"/>
      <c r="D40" s="90">
        <v>143875.43</v>
      </c>
      <c r="E40" s="4"/>
      <c r="F40" s="3">
        <f t="shared" si="9"/>
        <v>0.27843390468154605</v>
      </c>
      <c r="G40" s="4"/>
      <c r="H40" s="90">
        <v>132974.07999999999</v>
      </c>
      <c r="I40" s="4"/>
      <c r="J40" s="3">
        <f t="shared" si="10"/>
        <v>1.0819810146458619</v>
      </c>
      <c r="K40" s="11"/>
    </row>
    <row r="41" spans="1:11" s="1" customFormat="1" x14ac:dyDescent="0.25">
      <c r="A41" s="4" t="s">
        <v>59</v>
      </c>
      <c r="B41" s="6">
        <v>3373533</v>
      </c>
      <c r="C41" s="6"/>
      <c r="D41" s="90">
        <v>1981669.11</v>
      </c>
      <c r="E41" s="4"/>
      <c r="F41" s="3">
        <f t="shared" si="9"/>
        <v>0.58741654817071609</v>
      </c>
      <c r="G41" s="4"/>
      <c r="H41" s="90">
        <v>2026676.5</v>
      </c>
      <c r="I41" s="4"/>
      <c r="J41" s="3">
        <f t="shared" si="10"/>
        <v>0.97779251400013767</v>
      </c>
      <c r="K41" s="11"/>
    </row>
    <row r="42" spans="1:11" s="1" customFormat="1" x14ac:dyDescent="0.25">
      <c r="A42" s="4" t="s">
        <v>60</v>
      </c>
      <c r="B42" s="6">
        <v>2625148</v>
      </c>
      <c r="C42" s="6"/>
      <c r="D42" s="90">
        <v>1484882.84</v>
      </c>
      <c r="E42" s="4"/>
      <c r="F42" s="3">
        <f t="shared" si="9"/>
        <v>0.56563776213760142</v>
      </c>
      <c r="G42" s="4"/>
      <c r="H42" s="90">
        <v>1539633.8</v>
      </c>
      <c r="I42" s="4"/>
      <c r="J42" s="3">
        <f t="shared" si="10"/>
        <v>0.96443897243617283</v>
      </c>
      <c r="K42" s="11"/>
    </row>
    <row r="43" spans="1:11" s="1" customFormat="1" x14ac:dyDescent="0.25">
      <c r="A43" s="4" t="s">
        <v>61</v>
      </c>
      <c r="B43" s="6">
        <v>6838407</v>
      </c>
      <c r="C43" s="6"/>
      <c r="D43" s="90">
        <v>4398056.1399999997</v>
      </c>
      <c r="E43" s="4"/>
      <c r="F43" s="3">
        <f t="shared" si="9"/>
        <v>0.64314044776802548</v>
      </c>
      <c r="G43" s="4"/>
      <c r="H43" s="90">
        <v>3946838.57</v>
      </c>
      <c r="I43" s="4"/>
      <c r="J43" s="3">
        <f t="shared" si="10"/>
        <v>1.1143237966279427</v>
      </c>
      <c r="K43" s="11"/>
    </row>
    <row r="44" spans="1:11" s="1" customFormat="1" x14ac:dyDescent="0.25">
      <c r="A44" s="4" t="s">
        <v>62</v>
      </c>
      <c r="B44" s="6">
        <v>4840862</v>
      </c>
      <c r="C44" s="6"/>
      <c r="D44" s="90">
        <v>3037461.76</v>
      </c>
      <c r="E44" s="4"/>
      <c r="F44" s="3">
        <f t="shared" si="9"/>
        <v>0.6274629931611353</v>
      </c>
      <c r="G44" s="4"/>
      <c r="H44" s="90">
        <v>2641214.7400000002</v>
      </c>
      <c r="I44" s="4"/>
      <c r="J44" s="3">
        <f t="shared" si="10"/>
        <v>1.1500245375731923</v>
      </c>
      <c r="K44" s="11"/>
    </row>
    <row r="45" spans="1:11" s="1" customFormat="1" x14ac:dyDescent="0.25">
      <c r="A45" s="4" t="s">
        <v>63</v>
      </c>
      <c r="B45" s="6">
        <v>158000</v>
      </c>
      <c r="C45" s="6"/>
      <c r="D45" s="90">
        <v>130612</v>
      </c>
      <c r="E45" s="4"/>
      <c r="F45" s="3">
        <f t="shared" si="9"/>
        <v>0.82665822784810128</v>
      </c>
      <c r="G45" s="4"/>
      <c r="H45" s="90">
        <v>86947.74</v>
      </c>
      <c r="I45" s="4"/>
      <c r="J45" s="3">
        <f t="shared" si="10"/>
        <v>1.5021897061384228</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1363525</v>
      </c>
      <c r="C47" s="6"/>
      <c r="D47" s="5">
        <v>787586.73</v>
      </c>
      <c r="E47" s="4"/>
      <c r="F47" s="3">
        <f t="shared" si="9"/>
        <v>0.57761077354650636</v>
      </c>
      <c r="G47" s="4"/>
      <c r="H47" s="5">
        <v>1105111.02</v>
      </c>
      <c r="I47" s="4"/>
      <c r="J47" s="3">
        <f t="shared" si="10"/>
        <v>0.71267656891160125</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31478721</v>
      </c>
      <c r="C50" s="6"/>
      <c r="D50" s="8">
        <f>SUM(D39:D49)</f>
        <v>19187596.790000003</v>
      </c>
      <c r="E50" s="4"/>
      <c r="F50" s="3">
        <f>+(D50-B50)/B50+1</f>
        <v>0.60954181683556974</v>
      </c>
      <c r="G50" s="4"/>
      <c r="H50" s="8">
        <f>SUM(H39:H49)</f>
        <v>18008412.619999997</v>
      </c>
      <c r="I50" s="4"/>
      <c r="J50" s="3">
        <f t="shared" si="10"/>
        <v>1.0654796285981594</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-718499.4</v>
      </c>
      <c r="E54" s="4"/>
      <c r="F54" s="3">
        <f>+(D54-B54)/B54+1</f>
        <v>1.6255642533936652</v>
      </c>
      <c r="G54" s="4"/>
      <c r="H54" s="33">
        <v>-699161.72</v>
      </c>
      <c r="I54" s="4"/>
      <c r="J54" s="3">
        <f t="shared" ref="J54:J55" si="12">+(D54-H54)/H54+1</f>
        <v>1.027658379237353</v>
      </c>
      <c r="K54" s="11"/>
    </row>
    <row r="55" spans="1:11" s="1" customFormat="1" ht="16.5" x14ac:dyDescent="0.35">
      <c r="A55" s="80" t="s">
        <v>55</v>
      </c>
      <c r="B55" s="26">
        <f>SUM(B53:B54)</f>
        <v>-442000</v>
      </c>
      <c r="C55" s="6"/>
      <c r="D55" s="8">
        <f>SUM(D53:D54)</f>
        <v>-718499.4</v>
      </c>
      <c r="E55" s="4"/>
      <c r="F55" s="3">
        <f>+(D55-B55)/B55+1</f>
        <v>1.6255642533936652</v>
      </c>
      <c r="G55" s="26">
        <f>SUM(G53:G54)</f>
        <v>0</v>
      </c>
      <c r="H55" s="8">
        <f>SUM(H53:H54)</f>
        <v>-699161.72</v>
      </c>
      <c r="I55" s="4"/>
      <c r="J55" s="3">
        <f t="shared" si="12"/>
        <v>1.027658379237353</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8509382.9299999978</v>
      </c>
      <c r="E57" s="4"/>
      <c r="F57" s="4"/>
      <c r="G57" s="4"/>
      <c r="H57" s="9">
        <f>+H36-H50+H55</f>
        <v>6654701.0100000044</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J56" sqref="J56"/>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March 31,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45016</v>
      </c>
      <c r="K7" s="11"/>
    </row>
    <row r="8" spans="1:11" s="1" customFormat="1" x14ac:dyDescent="0.25">
      <c r="A8" s="4"/>
      <c r="B8" s="22" t="s">
        <v>33</v>
      </c>
      <c r="C8" s="80"/>
      <c r="D8" s="28" t="s">
        <v>35</v>
      </c>
      <c r="E8" s="87"/>
      <c r="F8" s="22" t="s">
        <v>33</v>
      </c>
      <c r="G8" s="87"/>
      <c r="H8" s="24">
        <f>+'Revenues, Expenditures, Changes'!H9</f>
        <v>45016</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6116534.75</v>
      </c>
      <c r="E31" s="4"/>
      <c r="F31" s="3">
        <f t="shared" si="0"/>
        <v>1.8466928339124125</v>
      </c>
      <c r="G31" s="4"/>
      <c r="H31" s="7">
        <v>5267428.4400000004</v>
      </c>
      <c r="I31" s="4"/>
      <c r="J31" s="3">
        <f t="shared" ref="J31:J33" si="1">+D31/H31</f>
        <v>1.1611994011256088</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3873065.79</v>
      </c>
      <c r="E33" s="4"/>
      <c r="F33" s="3">
        <f>+(D33-B33)/B33+1</f>
        <v>1.2771756431276389</v>
      </c>
      <c r="G33" s="4"/>
      <c r="H33" s="8">
        <v>1907688.45</v>
      </c>
      <c r="I33" s="4"/>
      <c r="J33" s="3">
        <f t="shared" si="1"/>
        <v>2.0302402051026727</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9989600.5399999991</v>
      </c>
      <c r="E36" s="4"/>
      <c r="F36" s="3">
        <f>+(D36-B36)/B36+1</f>
        <v>1.5744845350750549</v>
      </c>
      <c r="G36" s="4"/>
      <c r="H36" s="8">
        <f>SUM(H10:H35)</f>
        <v>7175116.8900000006</v>
      </c>
      <c r="I36" s="4"/>
      <c r="J36" s="3">
        <f t="shared" ref="J36" si="3">+D36/H36</f>
        <v>1.39225613925852</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1070739.6599999999</v>
      </c>
      <c r="E39" s="4"/>
      <c r="F39" s="3">
        <f t="shared" ref="F39:F47" si="4">+(D39-B39)/B39+1</f>
        <v>1.3878997306482845</v>
      </c>
      <c r="G39" s="4"/>
      <c r="H39" s="81">
        <v>1131147.03</v>
      </c>
      <c r="I39" s="4"/>
      <c r="J39" s="3">
        <f t="shared" ref="J39:J49" si="5">+D39/H39</f>
        <v>0.94659635891896377</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15996.75</v>
      </c>
      <c r="E41" s="4"/>
      <c r="F41" s="3">
        <f t="shared" si="4"/>
        <v>1.8546956521739131</v>
      </c>
      <c r="G41" s="4"/>
      <c r="H41" s="81">
        <v>177782.5</v>
      </c>
      <c r="I41" s="4"/>
      <c r="J41" s="3">
        <f t="shared" si="5"/>
        <v>8.9979328674082093E-2</v>
      </c>
      <c r="K41" s="11"/>
    </row>
    <row r="42" spans="1:11" s="1" customFormat="1" x14ac:dyDescent="0.25">
      <c r="A42" s="4" t="s">
        <v>60</v>
      </c>
      <c r="B42" s="6">
        <v>428278</v>
      </c>
      <c r="C42" s="6"/>
      <c r="D42" s="81">
        <v>559978.69999999995</v>
      </c>
      <c r="E42" s="4"/>
      <c r="F42" s="3">
        <f t="shared" si="4"/>
        <v>1.3075121766702935</v>
      </c>
      <c r="G42" s="4"/>
      <c r="H42" s="81">
        <v>511362.51</v>
      </c>
      <c r="I42" s="4"/>
      <c r="J42" s="3">
        <f t="shared" si="5"/>
        <v>1.0950718698560831</v>
      </c>
      <c r="K42" s="11"/>
    </row>
    <row r="43" spans="1:11" s="1" customFormat="1" x14ac:dyDescent="0.25">
      <c r="A43" s="4" t="s">
        <v>61</v>
      </c>
      <c r="B43" s="6">
        <v>1824139</v>
      </c>
      <c r="C43" s="6"/>
      <c r="D43" s="81">
        <v>2226350.6800000002</v>
      </c>
      <c r="E43" s="4"/>
      <c r="F43" s="3">
        <f t="shared" si="4"/>
        <v>1.2204939864780042</v>
      </c>
      <c r="G43" s="4"/>
      <c r="H43" s="81">
        <v>118657.86</v>
      </c>
      <c r="I43" s="4"/>
      <c r="J43" s="3">
        <f t="shared" si="5"/>
        <v>18.762774585686952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6116534.75</v>
      </c>
      <c r="E45" s="4"/>
      <c r="F45" s="3">
        <f t="shared" si="4"/>
        <v>1.8466928339124125</v>
      </c>
      <c r="G45" s="4"/>
      <c r="H45" s="82">
        <v>5236166.99</v>
      </c>
      <c r="I45" s="4"/>
      <c r="J45" s="3">
        <f t="shared" si="5"/>
        <v>1.1681321015317734</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9989600.5399999991</v>
      </c>
      <c r="E49" s="4"/>
      <c r="F49" s="3">
        <f>+(D49-B49)/B49+1</f>
        <v>1.5744845350750549</v>
      </c>
      <c r="G49" s="4"/>
      <c r="H49" s="83">
        <f>SUM(H39:H48)</f>
        <v>7175116.8900000006</v>
      </c>
      <c r="I49" s="4"/>
      <c r="J49" s="3">
        <f t="shared" si="5"/>
        <v>1.39225613925852</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J56" sqref="J56"/>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March 31,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45016</v>
      </c>
      <c r="K7" s="11"/>
      <c r="L7" s="11"/>
    </row>
    <row r="8" spans="1:12" s="1" customFormat="1" x14ac:dyDescent="0.25">
      <c r="A8" s="4"/>
      <c r="B8" s="22" t="s">
        <v>33</v>
      </c>
      <c r="C8" s="80"/>
      <c r="D8" s="28" t="s">
        <v>35</v>
      </c>
      <c r="E8" s="87"/>
      <c r="F8" s="22" t="s">
        <v>33</v>
      </c>
      <c r="G8" s="87"/>
      <c r="H8" s="24">
        <f>+'Revenues, Expenditures, Changes'!H9</f>
        <v>45016</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4.26</v>
      </c>
      <c r="E28" s="4"/>
      <c r="F28" s="3">
        <f t="shared" si="0"/>
        <v>1.42</v>
      </c>
      <c r="G28" s="4"/>
      <c r="H28" s="7">
        <v>2.12</v>
      </c>
      <c r="I28" s="4"/>
      <c r="J28" s="3">
        <f t="shared" ref="J28:J33" si="1">+D28/H28</f>
        <v>2.0094339622641506</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276503.65999999997</v>
      </c>
      <c r="E34" s="4"/>
      <c r="F34" s="3">
        <f t="shared" ref="F34:F36" si="2">+(D34-B34)/B34+1</f>
        <v>1.260748870356607</v>
      </c>
      <c r="G34" s="4"/>
      <c r="H34" s="98">
        <v>257163.84</v>
      </c>
      <c r="I34" s="4"/>
      <c r="J34" s="3">
        <f>+D34/H34</f>
        <v>1.0752042744423165</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276507.92</v>
      </c>
      <c r="E36" s="4"/>
      <c r="F36" s="3">
        <f t="shared" si="2"/>
        <v>1.2607510486959692</v>
      </c>
      <c r="G36" s="4"/>
      <c r="H36" s="8">
        <f>SUM(H10:H35)</f>
        <v>257165.96</v>
      </c>
      <c r="I36" s="4"/>
      <c r="J36" s="3">
        <f>+D36/H36</f>
        <v>1.075211975955138</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93858.57</v>
      </c>
      <c r="E39" s="4"/>
      <c r="F39" s="3">
        <f>+(D39-B39)/B39+1</f>
        <v>1.1473732014718288</v>
      </c>
      <c r="G39" s="4"/>
      <c r="H39" s="5">
        <v>45346.96</v>
      </c>
      <c r="I39" s="4"/>
      <c r="J39" s="3">
        <f>+D39/H39</f>
        <v>2.0697874785873189</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23875.23</v>
      </c>
      <c r="E43" s="4"/>
      <c r="F43" s="3">
        <f t="shared" si="4"/>
        <v>1.0056539320163431</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613825.66</v>
      </c>
      <c r="E45" s="4"/>
      <c r="F45" s="3">
        <f t="shared" si="6"/>
        <v>2.4764215630900317</v>
      </c>
      <c r="G45" s="4"/>
      <c r="H45" s="8">
        <v>470495.76</v>
      </c>
      <c r="I45" s="4"/>
      <c r="J45" s="3">
        <f>+D45/H45</f>
        <v>1.3046359015010041</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731559.46000000008</v>
      </c>
      <c r="E49" s="4"/>
      <c r="F49" s="3">
        <f>+(D49-B49)/B49+1</f>
        <v>2.0699904360915875</v>
      </c>
      <c r="G49" s="4"/>
      <c r="H49" s="8">
        <f>SUM(H39:H48)</f>
        <v>515842.72000000003</v>
      </c>
      <c r="I49" s="4"/>
      <c r="J49" s="3">
        <f>+D49/H49</f>
        <v>1.4181831624957313</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455051.54</v>
      </c>
      <c r="E52" s="4"/>
      <c r="F52" s="3">
        <f>+(D52-B52)/B52+1</f>
        <v>3.3935770963219283</v>
      </c>
      <c r="G52" s="4"/>
      <c r="H52" s="8">
        <v>258676.76</v>
      </c>
      <c r="I52" s="4"/>
      <c r="J52" s="3">
        <f>+D52/H52</f>
        <v>1.7591512279649706</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455051.54</v>
      </c>
      <c r="E54" s="4"/>
      <c r="F54" s="3"/>
      <c r="G54" s="26">
        <f>SUM(G52:G53)</f>
        <v>0</v>
      </c>
      <c r="H54" s="8">
        <f>SUM(H52:H53)</f>
        <v>258676.76</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J56" sqref="J56"/>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March 31,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45016</v>
      </c>
      <c r="K7" s="11"/>
      <c r="L7" s="11"/>
    </row>
    <row r="8" spans="1:12" s="1" customFormat="1" x14ac:dyDescent="0.25">
      <c r="A8" s="4"/>
      <c r="B8" s="22" t="s">
        <v>33</v>
      </c>
      <c r="C8" s="56"/>
      <c r="D8" s="28" t="s">
        <v>35</v>
      </c>
      <c r="E8" s="87"/>
      <c r="F8" s="22" t="s">
        <v>33</v>
      </c>
      <c r="G8" s="87"/>
      <c r="H8" s="24">
        <f>+'Revenues, Expenditures, Changes'!H9</f>
        <v>45016</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81144.59</v>
      </c>
      <c r="E35" s="4"/>
      <c r="F35" s="3">
        <f>+(D35-B35)/B35+1+0.0008</f>
        <v>1.7691953711371657</v>
      </c>
      <c r="G35" s="4"/>
      <c r="H35" s="85">
        <v>43022.52</v>
      </c>
      <c r="I35" s="4"/>
      <c r="J35" s="3">
        <f t="shared" ref="J35:J36" si="1">+D35/H35</f>
        <v>1.8860957005772792</v>
      </c>
      <c r="K35" s="11"/>
      <c r="L35" s="11"/>
    </row>
    <row r="36" spans="1:12" s="1" customFormat="1" ht="16.5" x14ac:dyDescent="0.35">
      <c r="A36" s="56" t="s">
        <v>55</v>
      </c>
      <c r="B36" s="26">
        <f>SUM(B10:B35)</f>
        <v>45886</v>
      </c>
      <c r="C36" s="6"/>
      <c r="D36" s="8">
        <f>SUM(D10:D35)</f>
        <v>81144.59</v>
      </c>
      <c r="E36" s="4"/>
      <c r="F36" s="3">
        <f>+(D36-B36)/B36+1+0.0008</f>
        <v>1.7691953711371657</v>
      </c>
      <c r="G36" s="4"/>
      <c r="H36" s="8">
        <f>SUM(H10:H35)</f>
        <v>43022.52</v>
      </c>
      <c r="I36" s="4"/>
      <c r="J36" s="3">
        <f t="shared" si="1"/>
        <v>1.8860957005772792</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78187.100000000006</v>
      </c>
      <c r="E39" s="4"/>
      <c r="F39" s="3">
        <f>+(D39-B39)/B39+1</f>
        <v>1.7581987856982235</v>
      </c>
      <c r="G39" s="4"/>
      <c r="H39" s="5">
        <v>39878.720000000001</v>
      </c>
      <c r="I39" s="4"/>
      <c r="J39" s="3">
        <f t="shared" ref="J39:J49" si="2">+D39/H39</f>
        <v>1.9606221062260776</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2957.49</v>
      </c>
      <c r="E41" s="4"/>
      <c r="F41" s="3">
        <f t="shared" ref="F41" si="3">+(D41-B41)/B41+1</f>
        <v>2.0886228813559322</v>
      </c>
      <c r="G41" s="4"/>
      <c r="H41" s="8">
        <v>3143.8</v>
      </c>
      <c r="I41" s="4"/>
      <c r="J41" s="3">
        <f t="shared" si="2"/>
        <v>0.94073732425726819</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81144.590000000011</v>
      </c>
      <c r="E49" s="4"/>
      <c r="F49" s="3">
        <f>+(D49-B49)/B49+1+0.0008</f>
        <v>1.7691953711371662</v>
      </c>
      <c r="G49" s="4"/>
      <c r="H49" s="8">
        <f>SUM(H39:H48)</f>
        <v>43022.520000000004</v>
      </c>
      <c r="I49" s="4"/>
      <c r="J49" s="3">
        <f t="shared" si="2"/>
        <v>1.8860957005772792</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J56" sqref="J56"/>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March 31,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45016</v>
      </c>
      <c r="K7" s="11"/>
    </row>
    <row r="8" spans="1:11" s="1" customFormat="1" x14ac:dyDescent="0.25">
      <c r="A8" s="4"/>
      <c r="B8" s="22" t="s">
        <v>33</v>
      </c>
      <c r="C8" s="56"/>
      <c r="D8" s="23" t="s">
        <v>35</v>
      </c>
      <c r="E8" s="87"/>
      <c r="F8" s="22" t="s">
        <v>33</v>
      </c>
      <c r="G8" s="87"/>
      <c r="H8" s="24">
        <f>+'Revenues, Expenditures, Changes'!H9</f>
        <v>45016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1188901.5900000001</v>
      </c>
      <c r="E10" s="4"/>
      <c r="F10" s="3">
        <f>+D10/B10</f>
        <v>0.48568225417704974</v>
      </c>
      <c r="G10" s="4"/>
      <c r="H10" s="5">
        <v>1257100.3700000001</v>
      </c>
      <c r="I10" s="4"/>
      <c r="J10" s="3">
        <f>+D10/H10</f>
        <v>0.94574913696032081</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468.66</v>
      </c>
      <c r="E12" s="4"/>
      <c r="F12" s="3">
        <v>0</v>
      </c>
      <c r="G12" s="4"/>
      <c r="H12" s="8">
        <v>214.39</v>
      </c>
      <c r="I12" s="4"/>
      <c r="J12" s="3">
        <f>+D12/H12</f>
        <v>2.1860161388124451</v>
      </c>
      <c r="K12" s="11"/>
    </row>
    <row r="13" spans="1:11" s="1" customFormat="1" ht="16.5" x14ac:dyDescent="0.35">
      <c r="A13" s="56" t="s">
        <v>55</v>
      </c>
      <c r="B13" s="26">
        <f>SUM(B10:B12)</f>
        <v>2447900</v>
      </c>
      <c r="C13" s="6"/>
      <c r="D13" s="8">
        <f>SUM(D10:D12)</f>
        <v>1189370.25</v>
      </c>
      <c r="E13" s="4"/>
      <c r="F13" s="3">
        <f>+D13/B13</f>
        <v>0.48587370807631031</v>
      </c>
      <c r="G13" s="4"/>
      <c r="H13" s="8">
        <f>SUM(H10:H12)</f>
        <v>1257314.76</v>
      </c>
      <c r="I13" s="4"/>
      <c r="J13" s="3">
        <f>+D13/H13</f>
        <v>0.94596062007575576</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321327.87</v>
      </c>
      <c r="E16" s="4"/>
      <c r="F16" s="3">
        <f t="shared" ref="F16:F30" si="1">+D16/B16</f>
        <v>0.56616263826878144</v>
      </c>
      <c r="G16" s="4"/>
      <c r="H16" s="95">
        <v>320295.33</v>
      </c>
      <c r="I16" s="4"/>
      <c r="J16" s="3">
        <f t="shared" ref="J16:J30" si="2">+D16/H16</f>
        <v>1.0032237123157555</v>
      </c>
      <c r="K16" s="11"/>
    </row>
    <row r="17" spans="1:11" s="1" customFormat="1" x14ac:dyDescent="0.25">
      <c r="A17" s="4" t="s">
        <v>80</v>
      </c>
      <c r="B17" s="52">
        <v>201629</v>
      </c>
      <c r="C17" s="6"/>
      <c r="D17" s="5">
        <v>106720.24</v>
      </c>
      <c r="E17" s="4"/>
      <c r="F17" s="3">
        <f t="shared" si="1"/>
        <v>0.52929013187587104</v>
      </c>
      <c r="G17" s="4"/>
      <c r="H17" s="95">
        <v>105679.37</v>
      </c>
      <c r="I17" s="4"/>
      <c r="J17" s="3">
        <f t="shared" si="2"/>
        <v>1.0098493206384558</v>
      </c>
      <c r="K17" s="11"/>
    </row>
    <row r="18" spans="1:11" s="1" customFormat="1" x14ac:dyDescent="0.25">
      <c r="A18" s="4" t="s">
        <v>81</v>
      </c>
      <c r="B18" s="52">
        <v>192919</v>
      </c>
      <c r="C18" s="6"/>
      <c r="D18" s="5">
        <v>114100.48</v>
      </c>
      <c r="E18" s="4"/>
      <c r="F18" s="3">
        <f t="shared" si="1"/>
        <v>0.59144241883899462</v>
      </c>
      <c r="G18" s="4"/>
      <c r="H18" s="95">
        <v>113231.46</v>
      </c>
      <c r="I18" s="4"/>
      <c r="J18" s="3">
        <f t="shared" si="2"/>
        <v>1.0076747222017626</v>
      </c>
      <c r="K18" s="11"/>
    </row>
    <row r="19" spans="1:11" s="1" customFormat="1" x14ac:dyDescent="0.25">
      <c r="A19" s="4" t="s">
        <v>82</v>
      </c>
      <c r="B19" s="52">
        <v>139323</v>
      </c>
      <c r="C19" s="6"/>
      <c r="D19" s="5">
        <v>157573.85</v>
      </c>
      <c r="E19" s="4"/>
      <c r="F19" s="3">
        <f t="shared" si="1"/>
        <v>1.1309966767870345</v>
      </c>
      <c r="G19" s="4"/>
      <c r="H19" s="95">
        <v>140578.98000000001</v>
      </c>
      <c r="I19" s="4"/>
      <c r="J19" s="3">
        <f t="shared" si="2"/>
        <v>1.1208919711894338</v>
      </c>
      <c r="K19" s="11"/>
    </row>
    <row r="20" spans="1:11" s="1" customFormat="1" x14ac:dyDescent="0.25">
      <c r="A20" s="4" t="s">
        <v>83</v>
      </c>
      <c r="B20" s="52">
        <v>26850</v>
      </c>
      <c r="C20" s="6"/>
      <c r="D20" s="5">
        <v>16481.04</v>
      </c>
      <c r="E20" s="4"/>
      <c r="F20" s="3">
        <f t="shared" si="1"/>
        <v>0.61381899441340781</v>
      </c>
      <c r="G20" s="4"/>
      <c r="H20" s="95">
        <v>20771.16</v>
      </c>
      <c r="I20" s="4"/>
      <c r="J20" s="3">
        <f t="shared" si="2"/>
        <v>0.79345785213729036</v>
      </c>
      <c r="K20" s="11"/>
    </row>
    <row r="21" spans="1:11" s="1" customFormat="1" x14ac:dyDescent="0.25">
      <c r="A21" s="4" t="s">
        <v>88</v>
      </c>
      <c r="B21" s="52">
        <v>11815</v>
      </c>
      <c r="C21" s="6"/>
      <c r="D21" s="5">
        <v>4142.8</v>
      </c>
      <c r="E21" s="4"/>
      <c r="F21" s="3">
        <f t="shared" si="1"/>
        <v>0.35063901819720694</v>
      </c>
      <c r="G21" s="4"/>
      <c r="H21" s="95">
        <v>65.599999999999994</v>
      </c>
      <c r="I21" s="4"/>
      <c r="J21" s="3">
        <v>0</v>
      </c>
      <c r="K21" s="11"/>
    </row>
    <row r="22" spans="1:11" s="1" customFormat="1" x14ac:dyDescent="0.25">
      <c r="A22" s="4" t="s">
        <v>84</v>
      </c>
      <c r="B22" s="52">
        <v>14175</v>
      </c>
      <c r="C22" s="6"/>
      <c r="D22" s="5">
        <v>7854.05</v>
      </c>
      <c r="E22" s="4"/>
      <c r="F22" s="3">
        <f t="shared" si="1"/>
        <v>0.55407760141093476</v>
      </c>
      <c r="G22" s="4"/>
      <c r="H22" s="95">
        <v>9046.7099999999991</v>
      </c>
      <c r="I22" s="4"/>
      <c r="J22" s="3">
        <f t="shared" si="2"/>
        <v>0.86816643840689056</v>
      </c>
      <c r="K22" s="11"/>
    </row>
    <row r="23" spans="1:11" s="1" customFormat="1" x14ac:dyDescent="0.25">
      <c r="A23" s="4" t="s">
        <v>85</v>
      </c>
      <c r="B23" s="52">
        <v>4000</v>
      </c>
      <c r="C23" s="6"/>
      <c r="D23" s="5">
        <v>1961.95</v>
      </c>
      <c r="E23" s="4"/>
      <c r="F23" s="3">
        <f t="shared" si="1"/>
        <v>0.49048750000000002</v>
      </c>
      <c r="G23" s="4"/>
      <c r="H23" s="95">
        <v>1729.31</v>
      </c>
      <c r="I23" s="4"/>
      <c r="J23" s="3">
        <f t="shared" si="2"/>
        <v>1.1345276439736081</v>
      </c>
      <c r="K23" s="11"/>
    </row>
    <row r="24" spans="1:11" s="1" customFormat="1" x14ac:dyDescent="0.25">
      <c r="A24" s="4" t="s">
        <v>86</v>
      </c>
      <c r="B24" s="52">
        <v>3000</v>
      </c>
      <c r="C24" s="6"/>
      <c r="D24" s="20">
        <v>3298.95</v>
      </c>
      <c r="E24" s="4"/>
      <c r="F24" s="3">
        <f t="shared" si="1"/>
        <v>1.09965</v>
      </c>
      <c r="G24" s="4"/>
      <c r="H24" s="95">
        <v>5890.93</v>
      </c>
      <c r="I24" s="4"/>
      <c r="J24" s="3">
        <f t="shared" si="2"/>
        <v>0.56000495677252993</v>
      </c>
      <c r="K24" s="11"/>
    </row>
    <row r="25" spans="1:11" s="1" customFormat="1" x14ac:dyDescent="0.25">
      <c r="A25" s="4" t="s">
        <v>87</v>
      </c>
      <c r="B25" s="52">
        <f>199300+100073</f>
        <v>299373</v>
      </c>
      <c r="C25" s="6"/>
      <c r="D25" s="5">
        <v>125308.06</v>
      </c>
      <c r="E25" s="4"/>
      <c r="F25" s="3">
        <f t="shared" si="1"/>
        <v>0.41856834116637104</v>
      </c>
      <c r="G25" s="4"/>
      <c r="H25" s="95">
        <v>125426.08</v>
      </c>
      <c r="I25" s="4"/>
      <c r="J25" s="3">
        <f t="shared" si="2"/>
        <v>0.99905904736877682</v>
      </c>
      <c r="K25" s="11"/>
    </row>
    <row r="26" spans="1:11" s="1" customFormat="1" x14ac:dyDescent="0.25">
      <c r="A26" s="4" t="s">
        <v>63</v>
      </c>
      <c r="B26" s="52">
        <v>42000</v>
      </c>
      <c r="C26" s="6"/>
      <c r="D26" s="5">
        <v>39785.5</v>
      </c>
      <c r="E26" s="4"/>
      <c r="F26" s="3">
        <f t="shared" si="1"/>
        <v>0.94727380952380957</v>
      </c>
      <c r="G26" s="4"/>
      <c r="H26" s="95">
        <v>37589</v>
      </c>
      <c r="I26" s="4"/>
      <c r="J26" s="3">
        <f t="shared" si="2"/>
        <v>1.0584346484343825</v>
      </c>
      <c r="K26" s="11"/>
    </row>
    <row r="27" spans="1:11" s="1" customFormat="1" x14ac:dyDescent="0.25">
      <c r="A27" s="4" t="s">
        <v>64</v>
      </c>
      <c r="B27" s="52">
        <v>1514880</v>
      </c>
      <c r="C27" s="6"/>
      <c r="D27" s="5">
        <v>720699.4</v>
      </c>
      <c r="E27" s="4"/>
      <c r="F27" s="3">
        <f t="shared" si="1"/>
        <v>0.47574685783692439</v>
      </c>
      <c r="G27" s="4"/>
      <c r="H27" s="95">
        <v>764897.02</v>
      </c>
      <c r="I27" s="4"/>
      <c r="J27" s="3">
        <f t="shared" si="2"/>
        <v>0.94221755498537574</v>
      </c>
      <c r="K27" s="11"/>
    </row>
    <row r="28" spans="1:11" s="1" customFormat="1" ht="16.5" x14ac:dyDescent="0.35">
      <c r="A28" s="4" t="s">
        <v>89</v>
      </c>
      <c r="B28" s="53">
        <v>6603</v>
      </c>
      <c r="C28" s="6"/>
      <c r="D28" s="8">
        <v>7135.14</v>
      </c>
      <c r="E28" s="4"/>
      <c r="F28" s="3">
        <f t="shared" si="1"/>
        <v>1.0805906406179011</v>
      </c>
      <c r="G28" s="4"/>
      <c r="H28" s="96">
        <v>1359.57</v>
      </c>
      <c r="I28" s="4"/>
      <c r="J28" s="3">
        <f t="shared" si="2"/>
        <v>5.2480857918312411</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1626389.3299999998</v>
      </c>
      <c r="E30" s="4"/>
      <c r="F30" s="3">
        <f t="shared" si="1"/>
        <v>0.53780564005210107</v>
      </c>
      <c r="G30" s="4"/>
      <c r="H30" s="8">
        <f>SUM(H16:H29)</f>
        <v>1646560.5200000003</v>
      </c>
      <c r="I30" s="4"/>
      <c r="J30" s="3">
        <f t="shared" si="2"/>
        <v>0.9877494997875933</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-437019.07999999984</v>
      </c>
      <c r="E37" s="4"/>
      <c r="F37" s="4"/>
      <c r="G37" s="4"/>
      <c r="H37" s="9">
        <f>+H13-H30+H35</f>
        <v>-389245.76000000024</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2024-05-07T12:55:43Z</cp:lastPrinted>
  <dcterms:created xsi:type="dcterms:W3CDTF">2009-11-06T16:21:47Z</dcterms:created>
  <dcterms:modified xsi:type="dcterms:W3CDTF">2024-05-07T12:56:15Z</dcterms:modified>
</cp:coreProperties>
</file>